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155" yWindow="75" windowWidth="17700" windowHeight="11760" tabRatio="933" activeTab="1"/>
  </bookViews>
  <sheets>
    <sheet name="Меню" sheetId="1" r:id="rId1"/>
    <sheet name="Баланс" sheetId="2" r:id="rId2"/>
    <sheet name="Коэфф" sheetId="6" r:id="rId3"/>
    <sheet name="Струк2" sheetId="5" r:id="rId4"/>
    <sheet name="Диаг1" sheetId="7" r:id="rId5"/>
    <sheet name="Струк5" sheetId="15" r:id="rId6"/>
    <sheet name="Устойчивость" sheetId="14" r:id="rId7"/>
    <sheet name="УстБалл" sheetId="39" r:id="rId8"/>
    <sheet name="Ликв2" sheetId="16" r:id="rId9"/>
    <sheet name="Рент" sheetId="21" r:id="rId10"/>
    <sheet name="Прибыль1" sheetId="32" r:id="rId11"/>
    <sheet name="Прибыль2" sheetId="34" r:id="rId12"/>
  </sheets>
  <definedNames>
    <definedName name="Cikl" localSheetId="9">Рент!#REF!</definedName>
    <definedName name="Cikl">#REF!</definedName>
    <definedName name="dopd">#REF!</definedName>
    <definedName name="explanations">#REF!</definedName>
    <definedName name="otchet">Баланс!$A$50</definedName>
    <definedName name="_xlnm.Print_Titles" localSheetId="9">Рент!$3:$4</definedName>
    <definedName name="_xlnm.Print_Titles" localSheetId="6">Устойчивость!$3:$4</definedName>
    <definedName name="_xlnm.Print_Area" localSheetId="1">Баланс!$A$1:$H$71</definedName>
    <definedName name="_xlnm.Print_Area" localSheetId="8">Ликв2!$A$1:$L$33</definedName>
    <definedName name="_xlnm.Print_Area" localSheetId="11">Прибыль2!$A$1:$L$26</definedName>
    <definedName name="_xlnm.Print_Area" localSheetId="9">Рент!$A$1:$L$15</definedName>
    <definedName name="_xlnm.Print_Area" localSheetId="3">Струк2!$A$1:$J$72</definedName>
    <definedName name="_xlnm.Print_Area" localSheetId="5">Струк5!$A$1:$K$19</definedName>
    <definedName name="_xlnm.Print_Area" localSheetId="7">УстБалл!$A$1:$K$34</definedName>
    <definedName name="_xlnm.Print_Area" localSheetId="6">Устойчивость!$A$1:$L$34</definedName>
  </definedNames>
  <calcPr calcId="125725"/>
</workbook>
</file>

<file path=xl/calcChain.xml><?xml version="1.0" encoding="utf-8"?>
<calcChain xmlns="http://schemas.openxmlformats.org/spreadsheetml/2006/main">
  <c r="D3" i="2"/>
  <c r="D32" i="39" l="1"/>
  <c r="D34" s="1"/>
  <c r="F32"/>
  <c r="F34" s="1"/>
  <c r="E32"/>
  <c r="E34" s="1"/>
  <c r="B17"/>
  <c r="B18" s="1"/>
  <c r="B19" s="1"/>
  <c r="B20" s="1"/>
  <c r="B21" s="1"/>
  <c r="F25" l="1"/>
  <c r="E25"/>
  <c r="D25"/>
  <c r="E6" l="1"/>
  <c r="F6"/>
  <c r="E7"/>
  <c r="F7"/>
  <c r="D7"/>
  <c r="D6"/>
  <c r="J6" s="1"/>
  <c r="J5"/>
  <c r="I5"/>
  <c r="H5"/>
  <c r="G5"/>
  <c r="F5"/>
  <c r="E5"/>
  <c r="D5"/>
  <c r="G4"/>
  <c r="H7" l="1"/>
  <c r="J7"/>
  <c r="I7"/>
  <c r="G7"/>
  <c r="G6"/>
  <c r="I6"/>
  <c r="H6"/>
  <c r="K2" i="34"/>
  <c r="L4" i="32"/>
  <c r="J4"/>
  <c r="H4"/>
  <c r="F4"/>
  <c r="D4"/>
  <c r="D10" i="21"/>
  <c r="D9"/>
  <c r="D8"/>
  <c r="D7"/>
  <c r="D6"/>
  <c r="H3"/>
  <c r="H3" i="16"/>
  <c r="D10"/>
  <c r="D9"/>
  <c r="D8"/>
  <c r="D7"/>
  <c r="D6"/>
  <c r="H3" i="14"/>
  <c r="C14" i="15"/>
  <c r="C13"/>
  <c r="C12"/>
  <c r="C10"/>
  <c r="C8"/>
  <c r="C7"/>
  <c r="C6"/>
  <c r="C5"/>
  <c r="C64" i="5"/>
  <c r="C53"/>
  <c r="C39"/>
  <c r="C29"/>
  <c r="C20"/>
  <c r="C11"/>
  <c r="F51" i="2"/>
  <c r="G2"/>
  <c r="F22" i="34" l="1"/>
  <c r="E22"/>
  <c r="F21"/>
  <c r="E21"/>
  <c r="F20"/>
  <c r="E20"/>
  <c r="F19"/>
  <c r="E19"/>
  <c r="F18"/>
  <c r="E18"/>
  <c r="F17"/>
  <c r="E17"/>
  <c r="F15"/>
  <c r="E15"/>
  <c r="F14"/>
  <c r="E14"/>
  <c r="F13"/>
  <c r="E13"/>
  <c r="F12"/>
  <c r="E12"/>
  <c r="F11"/>
  <c r="E11"/>
  <c r="F9"/>
  <c r="E9"/>
  <c r="F8"/>
  <c r="E8"/>
  <c r="F6"/>
  <c r="E6"/>
  <c r="F5"/>
  <c r="E5"/>
  <c r="F3"/>
  <c r="E3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C4"/>
  <c r="D4" s="1"/>
  <c r="E4" s="1"/>
  <c r="F4" s="1"/>
  <c r="G4" s="1"/>
  <c r="H4" s="1"/>
  <c r="I4" s="1"/>
  <c r="J4" s="1"/>
  <c r="K4" s="1"/>
  <c r="H5" l="1"/>
  <c r="H6"/>
  <c r="E24" s="1"/>
  <c r="H19"/>
  <c r="I11"/>
  <c r="H9"/>
  <c r="H13"/>
  <c r="H15"/>
  <c r="H17"/>
  <c r="H8"/>
  <c r="I9"/>
  <c r="H11"/>
  <c r="H12"/>
  <c r="I13"/>
  <c r="H18"/>
  <c r="H20"/>
  <c r="H21"/>
  <c r="H22"/>
  <c r="G5"/>
  <c r="J9" s="1"/>
  <c r="K9" s="1"/>
  <c r="G6"/>
  <c r="G8"/>
  <c r="J11"/>
  <c r="K11" s="1"/>
  <c r="G12"/>
  <c r="J13"/>
  <c r="H14"/>
  <c r="I14"/>
  <c r="G14"/>
  <c r="J5"/>
  <c r="I5"/>
  <c r="J6"/>
  <c r="I6"/>
  <c r="J8"/>
  <c r="I8"/>
  <c r="G9"/>
  <c r="G11"/>
  <c r="J12"/>
  <c r="I12"/>
  <c r="G13"/>
  <c r="J15"/>
  <c r="J18"/>
  <c r="J20"/>
  <c r="J22"/>
  <c r="G15"/>
  <c r="I15"/>
  <c r="G17"/>
  <c r="I17"/>
  <c r="G18"/>
  <c r="I18"/>
  <c r="G19"/>
  <c r="I19"/>
  <c r="G20"/>
  <c r="I20"/>
  <c r="G21"/>
  <c r="I21"/>
  <c r="G22"/>
  <c r="I22"/>
  <c r="J21" l="1"/>
  <c r="K21" s="1"/>
  <c r="J19"/>
  <c r="J17"/>
  <c r="K17" s="1"/>
  <c r="J14"/>
  <c r="K14" s="1"/>
  <c r="K12"/>
  <c r="K8"/>
  <c r="K13"/>
  <c r="K15"/>
  <c r="K19"/>
  <c r="K22"/>
  <c r="K20"/>
  <c r="K18"/>
  <c r="K6"/>
  <c r="K5"/>
  <c r="H12" i="32" l="1"/>
  <c r="H11"/>
  <c r="F12"/>
  <c r="F11"/>
  <c r="H10"/>
  <c r="F10"/>
  <c r="D12"/>
  <c r="J12" s="1"/>
  <c r="D11"/>
  <c r="D10"/>
  <c r="L3"/>
  <c r="J3"/>
  <c r="H8"/>
  <c r="H7"/>
  <c r="H6"/>
  <c r="F8"/>
  <c r="F7"/>
  <c r="F6"/>
  <c r="D8"/>
  <c r="D7"/>
  <c r="D6"/>
  <c r="H3"/>
  <c r="F3"/>
  <c r="D3"/>
  <c r="F5" l="1"/>
  <c r="G7" s="1"/>
  <c r="D5"/>
  <c r="E7" s="1"/>
  <c r="L11"/>
  <c r="L7"/>
  <c r="L12"/>
  <c r="H5"/>
  <c r="I7" s="1"/>
  <c r="L10"/>
  <c r="J11"/>
  <c r="J6"/>
  <c r="J8"/>
  <c r="L8"/>
  <c r="J10"/>
  <c r="L6"/>
  <c r="J7"/>
  <c r="D9"/>
  <c r="E10" s="1"/>
  <c r="F9"/>
  <c r="F13" s="1"/>
  <c r="H9"/>
  <c r="L9" l="1"/>
  <c r="M9" s="1"/>
  <c r="G8"/>
  <c r="E5"/>
  <c r="E6"/>
  <c r="E8"/>
  <c r="M12"/>
  <c r="M11"/>
  <c r="G6"/>
  <c r="G5"/>
  <c r="J9"/>
  <c r="K11" s="1"/>
  <c r="I5"/>
  <c r="L5"/>
  <c r="M5" s="1"/>
  <c r="D13"/>
  <c r="I6"/>
  <c r="I8"/>
  <c r="I10"/>
  <c r="H13"/>
  <c r="I11"/>
  <c r="K10"/>
  <c r="G9"/>
  <c r="J5"/>
  <c r="G10"/>
  <c r="I9"/>
  <c r="E11"/>
  <c r="E9"/>
  <c r="E12"/>
  <c r="G11"/>
  <c r="I12"/>
  <c r="G12"/>
  <c r="D4" i="5"/>
  <c r="C4"/>
  <c r="M10" i="32" l="1"/>
  <c r="M6"/>
  <c r="M8"/>
  <c r="M7"/>
  <c r="K12"/>
  <c r="K9"/>
  <c r="L13"/>
  <c r="J13"/>
  <c r="K8"/>
  <c r="K5"/>
  <c r="K6"/>
  <c r="K7"/>
  <c r="F6" i="21" l="1"/>
  <c r="G6"/>
  <c r="F9"/>
  <c r="G9"/>
  <c r="F10"/>
  <c r="G10"/>
  <c r="E10"/>
  <c r="E9"/>
  <c r="E6"/>
  <c r="I9"/>
  <c r="H6"/>
  <c r="K4"/>
  <c r="J4"/>
  <c r="I4"/>
  <c r="H4"/>
  <c r="G4"/>
  <c r="F4"/>
  <c r="E4"/>
  <c r="D74" i="6"/>
  <c r="D73"/>
  <c r="D72"/>
  <c r="D71"/>
  <c r="D70"/>
  <c r="D69"/>
  <c r="D68"/>
  <c r="D67"/>
  <c r="D66"/>
  <c r="H10" i="21" l="1"/>
  <c r="K9"/>
  <c r="K6"/>
  <c r="J6"/>
  <c r="K10"/>
  <c r="I6"/>
  <c r="J10"/>
  <c r="J9"/>
  <c r="G14"/>
  <c r="G12"/>
  <c r="E12"/>
  <c r="E14"/>
  <c r="F14"/>
  <c r="F12"/>
  <c r="I10"/>
  <c r="H9"/>
  <c r="H12" l="1"/>
  <c r="H14"/>
  <c r="J14"/>
  <c r="K12"/>
  <c r="K14"/>
  <c r="I14"/>
  <c r="I12"/>
  <c r="J12"/>
  <c r="J4" i="15" l="1"/>
  <c r="I4"/>
  <c r="K4" i="16"/>
  <c r="J4"/>
  <c r="K4" i="14"/>
  <c r="J4"/>
  <c r="I4" i="16" l="1"/>
  <c r="H4"/>
  <c r="G4"/>
  <c r="J17" s="1"/>
  <c r="F4"/>
  <c r="H17" s="1"/>
  <c r="E4"/>
  <c r="F17" s="1"/>
  <c r="G17" l="1"/>
  <c r="E17"/>
  <c r="I17"/>
  <c r="E14" i="15" l="1"/>
  <c r="F14"/>
  <c r="D14"/>
  <c r="J11"/>
  <c r="I11"/>
  <c r="H11"/>
  <c r="G11"/>
  <c r="J9"/>
  <c r="I9"/>
  <c r="H9"/>
  <c r="G9"/>
  <c r="H4"/>
  <c r="G4"/>
  <c r="F4"/>
  <c r="E4"/>
  <c r="D4"/>
  <c r="I4" i="14"/>
  <c r="H4"/>
  <c r="F4"/>
  <c r="E4"/>
  <c r="I14" i="15" l="1"/>
  <c r="G14"/>
  <c r="H14"/>
  <c r="J14"/>
  <c r="D70" i="5" l="1"/>
  <c r="C70"/>
  <c r="C69"/>
  <c r="D69"/>
  <c r="D68"/>
  <c r="C68"/>
  <c r="D66"/>
  <c r="C66"/>
  <c r="D48"/>
  <c r="C48"/>
  <c r="D46"/>
  <c r="C46"/>
  <c r="D49"/>
  <c r="F48" s="1"/>
  <c r="D35"/>
  <c r="D34"/>
  <c r="D33"/>
  <c r="D32"/>
  <c r="D31"/>
  <c r="C35"/>
  <c r="C34"/>
  <c r="C33"/>
  <c r="C32"/>
  <c r="C31"/>
  <c r="D25"/>
  <c r="D24"/>
  <c r="D23"/>
  <c r="D22"/>
  <c r="C25"/>
  <c r="C24"/>
  <c r="C23"/>
  <c r="C22"/>
  <c r="D7"/>
  <c r="D6"/>
  <c r="C7"/>
  <c r="C6"/>
  <c r="A1"/>
  <c r="G47"/>
  <c r="G45"/>
  <c r="G44"/>
  <c r="G43"/>
  <c r="G42"/>
  <c r="G41"/>
  <c r="C49" l="1"/>
  <c r="E48" s="1"/>
  <c r="H48" s="1"/>
  <c r="G48"/>
  <c r="G35"/>
  <c r="G25"/>
  <c r="F45"/>
  <c r="G34"/>
  <c r="E7"/>
  <c r="G31"/>
  <c r="E6"/>
  <c r="F43"/>
  <c r="G22"/>
  <c r="G24"/>
  <c r="G33"/>
  <c r="F41"/>
  <c r="G46"/>
  <c r="G69"/>
  <c r="G70"/>
  <c r="G23"/>
  <c r="G32"/>
  <c r="G68"/>
  <c r="C26"/>
  <c r="E23" s="1"/>
  <c r="D36"/>
  <c r="F35" s="1"/>
  <c r="G66"/>
  <c r="D26"/>
  <c r="F24" s="1"/>
  <c r="C36"/>
  <c r="E35" s="1"/>
  <c r="F49"/>
  <c r="F44"/>
  <c r="F42"/>
  <c r="F47"/>
  <c r="F46"/>
  <c r="G49" l="1"/>
  <c r="I48" s="1"/>
  <c r="F33"/>
  <c r="F34"/>
  <c r="H35"/>
  <c r="G36"/>
  <c r="I36" s="1"/>
  <c r="F22"/>
  <c r="F23"/>
  <c r="H23" s="1"/>
  <c r="G26"/>
  <c r="I26" s="1"/>
  <c r="E34"/>
  <c r="E31"/>
  <c r="E33"/>
  <c r="E26"/>
  <c r="C13"/>
  <c r="E22"/>
  <c r="E36"/>
  <c r="C14"/>
  <c r="F26"/>
  <c r="D13"/>
  <c r="F25"/>
  <c r="E47"/>
  <c r="H47" s="1"/>
  <c r="E45"/>
  <c r="H45" s="1"/>
  <c r="E43"/>
  <c r="H43" s="1"/>
  <c r="E41"/>
  <c r="H41" s="1"/>
  <c r="E49"/>
  <c r="E44"/>
  <c r="H44" s="1"/>
  <c r="E42"/>
  <c r="H42" s="1"/>
  <c r="E46"/>
  <c r="H46" s="1"/>
  <c r="F36"/>
  <c r="D14"/>
  <c r="D16" s="1"/>
  <c r="F32"/>
  <c r="E32"/>
  <c r="F31"/>
  <c r="E25"/>
  <c r="E24"/>
  <c r="H24" s="1"/>
  <c r="I43" l="1"/>
  <c r="I42"/>
  <c r="I45"/>
  <c r="I49"/>
  <c r="I47"/>
  <c r="H33"/>
  <c r="I46"/>
  <c r="I44"/>
  <c r="I41"/>
  <c r="H34"/>
  <c r="H22"/>
  <c r="H25"/>
  <c r="C16"/>
  <c r="H32"/>
  <c r="H31"/>
  <c r="I33"/>
  <c r="I34"/>
  <c r="I31"/>
  <c r="I32"/>
  <c r="I35"/>
  <c r="I25"/>
  <c r="I22"/>
  <c r="I24"/>
  <c r="I23"/>
  <c r="G14"/>
  <c r="D15"/>
  <c r="F15" s="1"/>
  <c r="G13"/>
  <c r="C15"/>
  <c r="E15" s="1"/>
  <c r="F13" l="1"/>
  <c r="F14"/>
  <c r="E13"/>
  <c r="G15"/>
  <c r="I15" s="1"/>
  <c r="E14"/>
  <c r="H13" l="1"/>
  <c r="H14"/>
  <c r="I14"/>
  <c r="I13"/>
  <c r="F7" i="34" l="1"/>
  <c r="J7" s="1"/>
  <c r="E7"/>
  <c r="E52" i="2"/>
  <c r="D52"/>
  <c r="E46"/>
  <c r="E47" s="1"/>
  <c r="D46"/>
  <c r="E39"/>
  <c r="D39"/>
  <c r="E33"/>
  <c r="D33"/>
  <c r="E23"/>
  <c r="D23"/>
  <c r="E15"/>
  <c r="D15"/>
  <c r="E3"/>
  <c r="D8" i="39" l="1"/>
  <c r="F11"/>
  <c r="F10"/>
  <c r="D11"/>
  <c r="D10"/>
  <c r="E8"/>
  <c r="F8"/>
  <c r="E10"/>
  <c r="E11"/>
  <c r="H7" i="34"/>
  <c r="I7"/>
  <c r="K7" s="1"/>
  <c r="G7"/>
  <c r="E58" i="2"/>
  <c r="F10" i="34" s="1"/>
  <c r="J10" s="1"/>
  <c r="D58" i="2"/>
  <c r="E10" i="34" s="1"/>
  <c r="F29" i="14"/>
  <c r="G18" i="16"/>
  <c r="G19"/>
  <c r="F32" i="14"/>
  <c r="F33"/>
  <c r="F6" i="16"/>
  <c r="H18" s="1"/>
  <c r="F14"/>
  <c r="F18" i="14"/>
  <c r="F22"/>
  <c r="F24"/>
  <c r="F9"/>
  <c r="E5" i="15"/>
  <c r="F10" i="14"/>
  <c r="F28"/>
  <c r="F7" i="16"/>
  <c r="F15"/>
  <c r="F15" i="14"/>
  <c r="F19"/>
  <c r="F21"/>
  <c r="E6" i="15"/>
  <c r="E10" s="1"/>
  <c r="F8" i="14"/>
  <c r="F31"/>
  <c r="F8" i="16"/>
  <c r="H20" s="1"/>
  <c r="D64" i="2"/>
  <c r="G7" i="21"/>
  <c r="G13" s="1"/>
  <c r="E29" i="14"/>
  <c r="E18" i="16"/>
  <c r="I18"/>
  <c r="E19"/>
  <c r="I19"/>
  <c r="E32" i="14"/>
  <c r="E33"/>
  <c r="E6" i="16"/>
  <c r="E14"/>
  <c r="E24" i="14"/>
  <c r="E22"/>
  <c r="E18"/>
  <c r="D5" i="15"/>
  <c r="E9" i="14"/>
  <c r="G14" i="16"/>
  <c r="G6"/>
  <c r="J18" s="1"/>
  <c r="F5" i="15"/>
  <c r="E10" i="14"/>
  <c r="E28"/>
  <c r="E15" i="16"/>
  <c r="E7"/>
  <c r="E19" i="14"/>
  <c r="E21"/>
  <c r="E15"/>
  <c r="D6" i="15"/>
  <c r="E8" i="14"/>
  <c r="G15" i="16"/>
  <c r="G7"/>
  <c r="F6" i="15"/>
  <c r="F10" s="1"/>
  <c r="D57" i="5"/>
  <c r="E31" i="14"/>
  <c r="E8" i="16"/>
  <c r="G8"/>
  <c r="J20" s="1"/>
  <c r="E64" i="2"/>
  <c r="E12" i="15" s="1"/>
  <c r="F7" i="21"/>
  <c r="F13" s="1"/>
  <c r="D55" i="5"/>
  <c r="D60"/>
  <c r="D67"/>
  <c r="D56"/>
  <c r="C55"/>
  <c r="C56"/>
  <c r="C67"/>
  <c r="C71" s="1"/>
  <c r="C60"/>
  <c r="C57"/>
  <c r="E24" i="2"/>
  <c r="D24"/>
  <c r="D47"/>
  <c r="F16" i="14" l="1"/>
  <c r="E12" i="16"/>
  <c r="E16" i="34"/>
  <c r="G10" i="39"/>
  <c r="H10"/>
  <c r="J10"/>
  <c r="I10"/>
  <c r="D9"/>
  <c r="I8"/>
  <c r="G8"/>
  <c r="J8"/>
  <c r="H8"/>
  <c r="F16" i="34"/>
  <c r="J16" s="1"/>
  <c r="F27" i="14"/>
  <c r="G11" i="39"/>
  <c r="J11"/>
  <c r="I11"/>
  <c r="H11"/>
  <c r="F9"/>
  <c r="E25" i="14"/>
  <c r="E9" i="39"/>
  <c r="G57" i="5"/>
  <c r="F12" i="14"/>
  <c r="F14"/>
  <c r="F23"/>
  <c r="H10" i="34"/>
  <c r="G10"/>
  <c r="I10"/>
  <c r="K10" s="1"/>
  <c r="E8" i="15"/>
  <c r="F11" i="14"/>
  <c r="E27"/>
  <c r="E7" i="21"/>
  <c r="J7" s="1"/>
  <c r="F12" i="16"/>
  <c r="E16" i="14"/>
  <c r="J8" i="16"/>
  <c r="H8"/>
  <c r="K8"/>
  <c r="F20"/>
  <c r="I8"/>
  <c r="K25" i="14"/>
  <c r="J19" i="16"/>
  <c r="G9"/>
  <c r="G10" s="1"/>
  <c r="K8" i="14"/>
  <c r="J8"/>
  <c r="H8"/>
  <c r="I8"/>
  <c r="K15"/>
  <c r="H15"/>
  <c r="I15"/>
  <c r="J15"/>
  <c r="I7" i="16"/>
  <c r="K7"/>
  <c r="E9"/>
  <c r="H7"/>
  <c r="F19"/>
  <c r="J7"/>
  <c r="K28" i="14"/>
  <c r="J28"/>
  <c r="I28"/>
  <c r="H28"/>
  <c r="G13" i="16"/>
  <c r="J9" i="14"/>
  <c r="K9"/>
  <c r="H9"/>
  <c r="I9"/>
  <c r="K18"/>
  <c r="J18"/>
  <c r="H18"/>
  <c r="I18"/>
  <c r="E17"/>
  <c r="I22"/>
  <c r="K22"/>
  <c r="J22"/>
  <c r="H22"/>
  <c r="J6" i="16"/>
  <c r="I6"/>
  <c r="H6"/>
  <c r="F18"/>
  <c r="K6"/>
  <c r="K32" i="14"/>
  <c r="I32"/>
  <c r="J32"/>
  <c r="H32"/>
  <c r="H19" i="16"/>
  <c r="F9"/>
  <c r="F10" s="1"/>
  <c r="E30" i="14"/>
  <c r="C59" i="5"/>
  <c r="F30" i="14"/>
  <c r="F8" i="21"/>
  <c r="J31" i="14"/>
  <c r="H31"/>
  <c r="I31"/>
  <c r="K31"/>
  <c r="D7" i="15"/>
  <c r="I6"/>
  <c r="G6"/>
  <c r="J6"/>
  <c r="H6"/>
  <c r="D10"/>
  <c r="E7" i="14"/>
  <c r="J21"/>
  <c r="K21"/>
  <c r="I21"/>
  <c r="H21"/>
  <c r="J19"/>
  <c r="K19"/>
  <c r="H19"/>
  <c r="I19"/>
  <c r="K15" i="16"/>
  <c r="J15"/>
  <c r="H15"/>
  <c r="I15"/>
  <c r="K10" i="14"/>
  <c r="I10"/>
  <c r="J10"/>
  <c r="H10"/>
  <c r="F7" i="15"/>
  <c r="F15"/>
  <c r="G12" i="16"/>
  <c r="K27" i="14"/>
  <c r="E6"/>
  <c r="I5" i="15"/>
  <c r="G5"/>
  <c r="J5"/>
  <c r="H5"/>
  <c r="D15"/>
  <c r="E23" i="14"/>
  <c r="E14"/>
  <c r="I24"/>
  <c r="K24"/>
  <c r="H24"/>
  <c r="J24"/>
  <c r="J14" i="16"/>
  <c r="I14"/>
  <c r="H14"/>
  <c r="K14"/>
  <c r="E13"/>
  <c r="J33" i="14"/>
  <c r="H33"/>
  <c r="K33"/>
  <c r="I33"/>
  <c r="H29"/>
  <c r="J29"/>
  <c r="K29"/>
  <c r="I29"/>
  <c r="G8" i="21"/>
  <c r="F12" i="15"/>
  <c r="F13" s="1"/>
  <c r="F8"/>
  <c r="E8" i="21"/>
  <c r="E12" i="14"/>
  <c r="H12" s="1"/>
  <c r="E11"/>
  <c r="D12" i="15"/>
  <c r="G12" s="1"/>
  <c r="D8"/>
  <c r="F7" i="14"/>
  <c r="F25"/>
  <c r="H25" s="1"/>
  <c r="E15" i="15"/>
  <c r="E7"/>
  <c r="F6" i="14"/>
  <c r="F17"/>
  <c r="F13" i="16"/>
  <c r="E13" i="15"/>
  <c r="D17" i="5"/>
  <c r="E67"/>
  <c r="E71"/>
  <c r="E66"/>
  <c r="E69"/>
  <c r="E70"/>
  <c r="E68"/>
  <c r="D71"/>
  <c r="G67"/>
  <c r="G55"/>
  <c r="D58"/>
  <c r="C17"/>
  <c r="C61"/>
  <c r="C58"/>
  <c r="E58" s="1"/>
  <c r="D61"/>
  <c r="G56"/>
  <c r="D59"/>
  <c r="H11" i="14" l="1"/>
  <c r="H16" i="34"/>
  <c r="I16"/>
  <c r="K16" s="1"/>
  <c r="I12" i="15"/>
  <c r="G16" i="34"/>
  <c r="J27" i="14"/>
  <c r="H12" i="16"/>
  <c r="K12"/>
  <c r="J12"/>
  <c r="H27" i="14"/>
  <c r="G9" i="39"/>
  <c r="I9"/>
  <c r="H9"/>
  <c r="J9"/>
  <c r="I7" i="21"/>
  <c r="G8" i="15"/>
  <c r="K7" i="21"/>
  <c r="E16" i="15"/>
  <c r="I25" i="14"/>
  <c r="J12"/>
  <c r="E13" i="21"/>
  <c r="J13" s="1"/>
  <c r="H7"/>
  <c r="E23" i="34"/>
  <c r="F16" i="15"/>
  <c r="J8"/>
  <c r="D16"/>
  <c r="H8"/>
  <c r="K11" i="14"/>
  <c r="I11"/>
  <c r="K8" i="21"/>
  <c r="J8"/>
  <c r="H8"/>
  <c r="I8"/>
  <c r="J13" i="16"/>
  <c r="K13"/>
  <c r="I13"/>
  <c r="H13"/>
  <c r="I23" i="14"/>
  <c r="K23"/>
  <c r="J23"/>
  <c r="H23"/>
  <c r="K6"/>
  <c r="J6"/>
  <c r="H6"/>
  <c r="I6"/>
  <c r="J7"/>
  <c r="K7"/>
  <c r="H7"/>
  <c r="I7"/>
  <c r="H7" i="15"/>
  <c r="J7"/>
  <c r="I7"/>
  <c r="G7"/>
  <c r="I12" i="16"/>
  <c r="J17" i="14"/>
  <c r="K17"/>
  <c r="H17"/>
  <c r="I17"/>
  <c r="J9" i="16"/>
  <c r="H9"/>
  <c r="I9"/>
  <c r="K9"/>
  <c r="E10"/>
  <c r="J25" i="14"/>
  <c r="K16"/>
  <c r="J16"/>
  <c r="H16"/>
  <c r="I16"/>
  <c r="J11"/>
  <c r="I8" i="15"/>
  <c r="J12"/>
  <c r="H12"/>
  <c r="D13"/>
  <c r="I13" s="1"/>
  <c r="I12" i="14"/>
  <c r="K12"/>
  <c r="K13" i="21"/>
  <c r="K14" i="14"/>
  <c r="H14"/>
  <c r="J14"/>
  <c r="I14"/>
  <c r="G15" i="15"/>
  <c r="I15"/>
  <c r="J15"/>
  <c r="H15"/>
  <c r="G10"/>
  <c r="I10"/>
  <c r="J10"/>
  <c r="H10"/>
  <c r="K30" i="14"/>
  <c r="H30"/>
  <c r="I30"/>
  <c r="J30"/>
  <c r="I27"/>
  <c r="D5" i="5"/>
  <c r="C5"/>
  <c r="E55"/>
  <c r="E56"/>
  <c r="F58"/>
  <c r="F57"/>
  <c r="G71"/>
  <c r="F69"/>
  <c r="F68"/>
  <c r="F71"/>
  <c r="F66"/>
  <c r="H66" s="1"/>
  <c r="F70"/>
  <c r="H70" s="1"/>
  <c r="H68"/>
  <c r="H69"/>
  <c r="F56"/>
  <c r="E57"/>
  <c r="H57" s="1"/>
  <c r="F55"/>
  <c r="H55" s="1"/>
  <c r="G58"/>
  <c r="I55" s="1"/>
  <c r="F67"/>
  <c r="H67" s="1"/>
  <c r="G16" i="15" l="1"/>
  <c r="H13" i="21"/>
  <c r="I16" i="15"/>
  <c r="I13" i="21"/>
  <c r="H56" i="5"/>
  <c r="J13" i="15"/>
  <c r="H13"/>
  <c r="K10" i="16"/>
  <c r="J10"/>
  <c r="I10"/>
  <c r="H10"/>
  <c r="G13" i="15"/>
  <c r="E5" i="5"/>
  <c r="J16" i="15"/>
  <c r="H16"/>
  <c r="I71" i="5"/>
  <c r="I68"/>
  <c r="I66"/>
  <c r="I69"/>
  <c r="I70"/>
  <c r="I58"/>
  <c r="I57"/>
  <c r="I67"/>
  <c r="I56"/>
</calcChain>
</file>

<file path=xl/sharedStrings.xml><?xml version="1.0" encoding="utf-8"?>
<sst xmlns="http://schemas.openxmlformats.org/spreadsheetml/2006/main" count="695" uniqueCount="448">
  <si>
    <t>Анализ финансового состояния предприятия</t>
  </si>
  <si>
    <t>ячейки ввода данных</t>
  </si>
  <si>
    <t>ячейки с формулами</t>
  </si>
  <si>
    <t>автоматически обновляемые ячейки</t>
  </si>
  <si>
    <t>1.1.</t>
  </si>
  <si>
    <t>1.2.</t>
  </si>
  <si>
    <t>1.3.</t>
  </si>
  <si>
    <t>1.4.</t>
  </si>
  <si>
    <t>2.1.</t>
  </si>
  <si>
    <t>2.2.</t>
  </si>
  <si>
    <t>2.3.</t>
  </si>
  <si>
    <t>2.4.</t>
  </si>
  <si>
    <t>2.5.</t>
  </si>
  <si>
    <t>3.1.</t>
  </si>
  <si>
    <t>3.2.</t>
  </si>
  <si>
    <t>4.1.</t>
  </si>
  <si>
    <t>4.2.</t>
  </si>
  <si>
    <t>Бухгалтерский баланс</t>
  </si>
  <si>
    <t>Наименование показателя</t>
  </si>
  <si>
    <t>Код</t>
  </si>
  <si>
    <t>АКТИВ</t>
  </si>
  <si>
    <t>I. ВНЕОБОРОТНЫЕ АКТИВЫ</t>
  </si>
  <si>
    <t>Нематериальные активы</t>
  </si>
  <si>
    <t>Результаты исследований и разработок</t>
  </si>
  <si>
    <t>Нематериальные поисковые активы</t>
  </si>
  <si>
    <t>Материальные поисковые активы</t>
  </si>
  <si>
    <t>Основные средства</t>
  </si>
  <si>
    <t>Доходные вложения в материальные
ценности</t>
  </si>
  <si>
    <t>Финансовые вложения</t>
  </si>
  <si>
    <t>Отложенные налоговые активы</t>
  </si>
  <si>
    <t>Прочие внеоборотные активы</t>
  </si>
  <si>
    <t>Итого по разделу I</t>
  </si>
  <si>
    <t>II. ОБОРОТНЫЕ АКТИВЫ</t>
  </si>
  <si>
    <t>Запасы</t>
  </si>
  <si>
    <t>Налог на добавленную стоимость по приобретенным ценностям</t>
  </si>
  <si>
    <t>Дебиторская задолженность</t>
  </si>
  <si>
    <t>Финансовые вложения (за исключением денежных эквивалентов)</t>
  </si>
  <si>
    <t>Денежные средства и денежные эквиваленты</t>
  </si>
  <si>
    <t>Прочие оборотные активы</t>
  </si>
  <si>
    <t>Итого по разделу II</t>
  </si>
  <si>
    <t>БАЛАНС</t>
  </si>
  <si>
    <t>ПАССИВ</t>
  </si>
  <si>
    <t>III. КАПИТАЛ И РЕЗЕРВЫ</t>
  </si>
  <si>
    <t>Уставный капитал (складочный капитал, уставный фонд, вклады товарищей)</t>
  </si>
  <si>
    <t>Собственные акции, выкупленные у акционеров</t>
  </si>
  <si>
    <t>Переоценка внеоборотных активов</t>
  </si>
  <si>
    <t>Добавочный капитал (без переоценки)</t>
  </si>
  <si>
    <t>Резервный капитал</t>
  </si>
  <si>
    <t>Нераспределенная прибыль (непокрытый убыток)</t>
  </si>
  <si>
    <t>Итого по разделу III</t>
  </si>
  <si>
    <t>IV. ДОЛГОСРОЧНЫЕ ОБЯЗАТЕЛЬСТВА</t>
  </si>
  <si>
    <t>Заемные средства</t>
  </si>
  <si>
    <t>Отложенные налоговые обязательства</t>
  </si>
  <si>
    <t>Оценочные обязательства</t>
  </si>
  <si>
    <t>Прочие обязательства</t>
  </si>
  <si>
    <t>Итого по разделу IV</t>
  </si>
  <si>
    <t>V. КРАТКОСРОЧНЫЕ ОБЯЗАТЕЛЬСТВА</t>
  </si>
  <si>
    <t>Кредиторская задолженность</t>
  </si>
  <si>
    <t>Доходы будущих периодов</t>
  </si>
  <si>
    <t>Итого по разделу V</t>
  </si>
  <si>
    <t>Отчет о финансовых результатах</t>
  </si>
  <si>
    <t>Выручка</t>
  </si>
  <si>
    <t>Себестоимость продаж</t>
  </si>
  <si>
    <t>Валовая прибыль (убыток)</t>
  </si>
  <si>
    <t>Коммерческие расходы</t>
  </si>
  <si>
    <t>Управленческие расходы</t>
  </si>
  <si>
    <t>Прибыль (убыток) от продаж</t>
  </si>
  <si>
    <t>Доходы от участия в других организациях</t>
  </si>
  <si>
    <t>Проценты к получению</t>
  </si>
  <si>
    <t>Проценты к уплате</t>
  </si>
  <si>
    <t>Прочие доходы</t>
  </si>
  <si>
    <t>Прочие расходы</t>
  </si>
  <si>
    <t>Прибыль (убыток) до налогообложения</t>
  </si>
  <si>
    <t>Текущий налог на прибыль</t>
  </si>
  <si>
    <t>в т.ч. постоянные налоговые обязательства
(активы)</t>
  </si>
  <si>
    <t>Изменение отложенных налоговых обязательств</t>
  </si>
  <si>
    <t>Изменение отложенных налоговых активов</t>
  </si>
  <si>
    <t>Прочее</t>
  </si>
  <si>
    <t>Чистая прибыль (убыток)</t>
  </si>
  <si>
    <t>Расходы будущих периодов</t>
  </si>
  <si>
    <t>Показатель</t>
  </si>
  <si>
    <t>Анализ структуры активов</t>
  </si>
  <si>
    <t>Показатели</t>
  </si>
  <si>
    <t>Удельный вес (%)</t>
  </si>
  <si>
    <t>Изменения</t>
  </si>
  <si>
    <t>на начало года</t>
  </si>
  <si>
    <t>на конец года</t>
  </si>
  <si>
    <t>в абсолютных величинах</t>
  </si>
  <si>
    <t>в удельных весах</t>
  </si>
  <si>
    <t>в % к изменению общей величины</t>
  </si>
  <si>
    <t>Внеоборотные активы</t>
  </si>
  <si>
    <t>Оборотные активы</t>
  </si>
  <si>
    <t>Итого активы</t>
  </si>
  <si>
    <t>Коэффициент соотношения оборотных и внеоборотных активов</t>
  </si>
  <si>
    <t>Анализ структуры внеоборотных активов</t>
  </si>
  <si>
    <t xml:space="preserve">Долгосрочные финансовые вложения </t>
  </si>
  <si>
    <t>Итого</t>
  </si>
  <si>
    <t>Анализ структуры оборотных активов</t>
  </si>
  <si>
    <t>Краткосрочные финансовые вложения</t>
  </si>
  <si>
    <t>Денежные средства</t>
  </si>
  <si>
    <t>Анализ структуры запасов</t>
  </si>
  <si>
    <t>Сырье и материалы</t>
  </si>
  <si>
    <t>Животные на выращивании и откорме</t>
  </si>
  <si>
    <t>Затраты в незавершенном производстве</t>
  </si>
  <si>
    <t>Готовая продукция и товары для перепродажи</t>
  </si>
  <si>
    <t>Товары отгруженные</t>
  </si>
  <si>
    <t>Другие запасы и затраты</t>
  </si>
  <si>
    <t>Анализ структуры пассивов</t>
  </si>
  <si>
    <t>Собственный капитал</t>
  </si>
  <si>
    <t>Заемные долгосрочные средства</t>
  </si>
  <si>
    <t>Заемные краткосрочные средства</t>
  </si>
  <si>
    <t>Итого пассивы</t>
  </si>
  <si>
    <t>Коэффициент автономии</t>
  </si>
  <si>
    <t>Коэффициент соотношения заемных и собственных средств</t>
  </si>
  <si>
    <t>Коэффициент соотношения краткосрочных обязательств и перманентного капитала</t>
  </si>
  <si>
    <t>Анализ структуры заемных средств</t>
  </si>
  <si>
    <t>Долгосрочные заемные средства</t>
  </si>
  <si>
    <t>Другие долгосрочные обязательства</t>
  </si>
  <si>
    <t>Краткосрочные заемные средства</t>
  </si>
  <si>
    <t>Краткосрочная кредиторская задолженность</t>
  </si>
  <si>
    <t>Другие краткосрочные обязательства</t>
  </si>
  <si>
    <t>Сравнение динамики активов и финансовых результатов</t>
  </si>
  <si>
    <t xml:space="preserve">Показатель </t>
  </si>
  <si>
    <t>на начало года (периода)</t>
  </si>
  <si>
    <t>на конец года (периода)</t>
  </si>
  <si>
    <t xml:space="preserve">Темп прироста, % </t>
  </si>
  <si>
    <t>Средняя за период величина активов предприятия (Ik)</t>
  </si>
  <si>
    <t>Выручка от продаж (Iv)</t>
  </si>
  <si>
    <t>Чистая прибыль (убыток) (Ip)</t>
  </si>
  <si>
    <t>Запасы и затраты, в т.ч. НДС</t>
  </si>
  <si>
    <t>Коэффициент имущества производственного назначения</t>
  </si>
  <si>
    <t>Финансовые коэффициенты</t>
  </si>
  <si>
    <t>Формула по балансу</t>
  </si>
  <si>
    <t>Нормативное значение</t>
  </si>
  <si>
    <t>больше равно 0,5</t>
  </si>
  <si>
    <t>Кпим = (стр. 1150 + стр. 1210 + стр. 1220) / стр. 1600</t>
  </si>
  <si>
    <t>Ка = стр. 1300 / стр. 1600</t>
  </si>
  <si>
    <t>от 0,5 до 0,7</t>
  </si>
  <si>
    <t>Кзс = (стр. 1500 + стр. 1400) / стр. 1300</t>
  </si>
  <si>
    <t>№ п/п</t>
  </si>
  <si>
    <t>Ед. изм.</t>
  </si>
  <si>
    <t>Период</t>
  </si>
  <si>
    <t>Изменение, тыс. руб.</t>
  </si>
  <si>
    <t>Темп роста, %</t>
  </si>
  <si>
    <t>тыс. руб.</t>
  </si>
  <si>
    <t>%</t>
  </si>
  <si>
    <t>Источник:</t>
  </si>
  <si>
    <t>от 0,2 до 0,5</t>
  </si>
  <si>
    <t>больше равно 0,1</t>
  </si>
  <si>
    <t>1.5.</t>
  </si>
  <si>
    <t>от 0,6 до 0,8</t>
  </si>
  <si>
    <t>Коэффициент автономии (независимости)</t>
  </si>
  <si>
    <t>Коэффициент финансирования</t>
  </si>
  <si>
    <t>больше равно 1,0</t>
  </si>
  <si>
    <t>от 0,75 до 0,9</t>
  </si>
  <si>
    <t>2.6.</t>
  </si>
  <si>
    <t>Коэффициент соотношения мобильных и иммобилизованных активов</t>
  </si>
  <si>
    <t>Коэффициент текущей ликвидности</t>
  </si>
  <si>
    <t>от 1,5 до 2,5</t>
  </si>
  <si>
    <t>Коэффициент быстрой ликвидности</t>
  </si>
  <si>
    <t>Коэффициент абсолютной ликвидности</t>
  </si>
  <si>
    <t>более 0,2</t>
  </si>
  <si>
    <t>Коэффициент обеспеченности собственными средствами</t>
  </si>
  <si>
    <t>Исходные данные</t>
  </si>
  <si>
    <t>более 0,8</t>
  </si>
  <si>
    <t>3.3.</t>
  </si>
  <si>
    <t>Доля оборотных средств в активах</t>
  </si>
  <si>
    <t>больше 0,5</t>
  </si>
  <si>
    <t>3.4.</t>
  </si>
  <si>
    <t>Коэффициент восстановления платежеспособности</t>
  </si>
  <si>
    <t>больше 1,0</t>
  </si>
  <si>
    <t>3.5.</t>
  </si>
  <si>
    <t>Коэффициент утраты платежеспособности</t>
  </si>
  <si>
    <t>1. Частные показатели ликвидности и платежеспособности</t>
  </si>
  <si>
    <t>Ктл = стр. 1200 / (стр. 1520 + стр. 1510 + стр. 1550)</t>
  </si>
  <si>
    <t>Коэффициент быстрой (срочной) ликвидности</t>
  </si>
  <si>
    <t>Кбл = (стр. 1230 + стр. 1240 + стр. 1250) / (стр. 1520 + стр. 1510 + стр. 1550)</t>
  </si>
  <si>
    <t>Каб = (стр. 1240 + стр. 1250) / (стр. 1520 + стр. 1510 + стр. 1550)</t>
  </si>
  <si>
    <t>Доа = стр. 1200 / стр. 1600</t>
  </si>
  <si>
    <t>Квп = (К1ф + 6/Т (К1ф - К1н)) / 2</t>
  </si>
  <si>
    <t>Куп = (К1ф + 3/Т (К1ф - К1н)) / 2</t>
  </si>
  <si>
    <t>Ко = (стр. 1300 - стр. 1100) / стр. 1200</t>
  </si>
  <si>
    <t>Коэффициент финансовой зависимости</t>
  </si>
  <si>
    <t>Км = (стр. 1300 - стр. 1100) / стр. 1300</t>
  </si>
  <si>
    <t>Коэффициент маневренности</t>
  </si>
  <si>
    <t>Куф = (стр. 1300 + стр. 1400) / стр. 1600</t>
  </si>
  <si>
    <t>Коэффициент автономии источников формирования запасов</t>
  </si>
  <si>
    <t>Км/и = стр. 1100 / стр. 1200</t>
  </si>
  <si>
    <t>Коэффициент капитализации (плечо финансового рычага)</t>
  </si>
  <si>
    <t>Кк = (стр. 1400 + стр. 1500) / стр. 1300</t>
  </si>
  <si>
    <t>до 1,5</t>
  </si>
  <si>
    <t>Коэффициент устойчивого финансирования (Коэффициент финансовой устойчивости)</t>
  </si>
  <si>
    <t>Коэффициент обеспеченности оборотных активов собственными оборотными средствами</t>
  </si>
  <si>
    <t>Коа = (стр. 1300 + стр. 1530 + стр. 1540 - стр. 1100) / стр. 1200</t>
  </si>
  <si>
    <t>больше 0,1</t>
  </si>
  <si>
    <t>от 0,5 до 0,8</t>
  </si>
  <si>
    <t>Комз =  (стр. 1300 + стр. 1530 + стр. 1540 - стр. 1100) / стр. 1210</t>
  </si>
  <si>
    <t>Коэффициент обеспеченности материальных запасов собственными оборотными средствами</t>
  </si>
  <si>
    <t>Коэффициент маневренности собственного капитала</t>
  </si>
  <si>
    <t>Кмск = (стр. 1300 + стр. 1530 + стр. 1540 - стр. 1100) / (стр. 1300 + стр. 1530 + стр. 1540)</t>
  </si>
  <si>
    <t>равно 0,5</t>
  </si>
  <si>
    <t>Индекс постоянного актива</t>
  </si>
  <si>
    <t>Кпа = стр. 1300 / (стр. 1300 + стр. 1530 + стр. 1540)</t>
  </si>
  <si>
    <t>Коэффициент долгосрочного привлечения заемных средств</t>
  </si>
  <si>
    <t>Кдз = стр. 1400 / (стр. 1300 + стр. 1530 + стр. 1540 + стр. 1400)</t>
  </si>
  <si>
    <t>Коэффициент реальной стоимости имущества</t>
  </si>
  <si>
    <t>меньше равно 0,5</t>
  </si>
  <si>
    <t>Кри = (стр. 1150 + стр. 1210) / стр. 1600</t>
  </si>
  <si>
    <t>Коэффициент финансовой устойчивости</t>
  </si>
  <si>
    <t>Коэффициент финансовой активности</t>
  </si>
  <si>
    <t>Кфа = (стр. 1400 + стр. 1500 - стр. 1530 - стр. 1540) / (стр. 1300 + стр. 1530 + стр. 1540)</t>
  </si>
  <si>
    <t>меньше 1,0</t>
  </si>
  <si>
    <t>Кф = (стр. 1300 + стр. 1530 + стр. 1540) / (стр. 1400 + стр. 1500)</t>
  </si>
  <si>
    <t>1.6.</t>
  </si>
  <si>
    <t>1.7.</t>
  </si>
  <si>
    <t>Коэффициент обеспеченности запасов собственными источниками</t>
  </si>
  <si>
    <t>2. Частные показатели финансовой устойчивости (Шеремет)</t>
  </si>
  <si>
    <t>Км = (ЧА - стр. 1100 - стр.5540) / ЧА</t>
  </si>
  <si>
    <t>Каи =(ЧА - стр. 1100 - стр.5540) / ((ЧА - стр. 1100 - стр.5540) + стр. 1400 + стр. 1500)</t>
  </si>
  <si>
    <t>Коз =  (ЧА - стр. 1100 - стр.5540) / стр. 1210</t>
  </si>
  <si>
    <t>Коб =  (ЧА - стр. 1100 - стр.5540) / (стр. 1210 + стр. 1230 + стр. 1240 + стр. 1250 - дз)</t>
  </si>
  <si>
    <t>3. Частные показатели финансовой устойчивости (Ковалев В.В.)</t>
  </si>
  <si>
    <t>Коэффициент концентрации собственного капитала</t>
  </si>
  <si>
    <t>Kdr = (стр. 1400 + стр. 1500) / стр. 1700</t>
  </si>
  <si>
    <t>Кer=стр. 1300 / стр. 1700</t>
  </si>
  <si>
    <t>Коэффициент концентрации привлеченных средств (заемного капитала)</t>
  </si>
  <si>
    <t>Коэффициент финансовой зависимости капитализированных источников</t>
  </si>
  <si>
    <t>Kdc = стр. 1400 / (стр. 1300 + стр. 1400)</t>
  </si>
  <si>
    <t>Коэффициент финансовой независимости капитализированных источников</t>
  </si>
  <si>
    <t>Kеc = стр. 1300 / (стр. 1300 + стр. 1400)</t>
  </si>
  <si>
    <t>больше равно 0,6</t>
  </si>
  <si>
    <t>меньше 0,4</t>
  </si>
  <si>
    <t>Оценка коэффициентов финансовой устойчивости (Ковалев В.В.)</t>
  </si>
  <si>
    <t>Расчет эффекта финансового рычага</t>
  </si>
  <si>
    <t>ед.изм.</t>
  </si>
  <si>
    <t>Заемный капитал</t>
  </si>
  <si>
    <t>Итого капитал</t>
  </si>
  <si>
    <t>Операционная прибыль</t>
  </si>
  <si>
    <t>Ставка процента по заемному капиталу</t>
  </si>
  <si>
    <t>Сумма процентов по заемному капиталу</t>
  </si>
  <si>
    <t>Ставка налога на прибыль</t>
  </si>
  <si>
    <t>Налогооблагаемая прибыль</t>
  </si>
  <si>
    <t>Сумма налога на прибыль</t>
  </si>
  <si>
    <t>Чистая прибыль</t>
  </si>
  <si>
    <t>Рентабельность собственного капитала</t>
  </si>
  <si>
    <t>Эффект финансового рычага (DFL)</t>
  </si>
  <si>
    <t>Эффект финансового рычага (Degree of financial leverage – DFL)</t>
  </si>
  <si>
    <t>Степень финансовой устойчивости (Савицкая Г.В.)</t>
  </si>
  <si>
    <t>4. Частные показатели финансовой устойчивости (Савицкая Г.В.)</t>
  </si>
  <si>
    <t>Кфз = (стр. 1400 + стр. 1510 + стр. 1520 + стр. 1550) / стр. 1300</t>
  </si>
  <si>
    <t>Коэффициент текущей задолженности</t>
  </si>
  <si>
    <t>от 0,1 до 0,2</t>
  </si>
  <si>
    <t>Ктз = (стр. 1510 + стр. 1520 + стр. 1550) / стр. 1700</t>
  </si>
  <si>
    <t>Коэффициент долгосрочной финансовой независимости (Коэффициент финансовой устойчивости)</t>
  </si>
  <si>
    <t>Куф = (стр. 1300 + стр. 1400) / стр. 1700</t>
  </si>
  <si>
    <t>Коэффициент покрытия долгов собственным капиталом (коэффициент платежеспособности)</t>
  </si>
  <si>
    <t>больше равно 0,7</t>
  </si>
  <si>
    <t>Кпд = стр. 1300 / (стр. 1300 + стр. 1400)</t>
  </si>
  <si>
    <t>Коэффициент финансового левериджа или коэффициент финансового риска</t>
  </si>
  <si>
    <t>от 0,4 до 0,6</t>
  </si>
  <si>
    <t xml:space="preserve">Кфл = (стр. 1400 + стр. 1500) / стр. 1300 </t>
  </si>
  <si>
    <t>4. Частные показатели финансовой устойчивости (Донцова Л.В.)</t>
  </si>
  <si>
    <t>Коэффициент финансовой независимости</t>
  </si>
  <si>
    <t>2. Частные показатели рыночной устойчивости (Ионова)</t>
  </si>
  <si>
    <t>от 0,5 до 0,6</t>
  </si>
  <si>
    <t>Кф = стр. 1300 / (стр. 1400 + стр. 1500)</t>
  </si>
  <si>
    <t>Кк = (стр. 1400 + стр. 1500) / стр. 1700</t>
  </si>
  <si>
    <t>Показатели финансовой устойчивости (Донцова Л.В.)</t>
  </si>
  <si>
    <t>Коэффициент обеспеченности собственными источниками финасирования</t>
  </si>
  <si>
    <t>Показатели финансовой структуры и долгосрочной платежеспособности</t>
  </si>
  <si>
    <t>Долгосрочные обязательства</t>
  </si>
  <si>
    <t>Краткосрочные обязательства</t>
  </si>
  <si>
    <t>Совокупные пассивы</t>
  </si>
  <si>
    <t>Коэффициент независимости</t>
  </si>
  <si>
    <t>Показатели, характеризующие финансовую структуру</t>
  </si>
  <si>
    <t>Коэффициент финансового рычага</t>
  </si>
  <si>
    <t>Внеоборотные активы / Собственный капитал</t>
  </si>
  <si>
    <t>Оборотные активы / Долгосрочные обязательства</t>
  </si>
  <si>
    <t>Коэффициент финансовой устойчивости (соотношения заемных и собственных средств)</t>
  </si>
  <si>
    <t>до 0,5</t>
  </si>
  <si>
    <t>Коэффициент кредиторской задолженности</t>
  </si>
  <si>
    <t>Ккз = стр. 1520 / стр. 1500</t>
  </si>
  <si>
    <t>Коэффициент маневренности собственных оборотных средств</t>
  </si>
  <si>
    <t>Коэффициент обеспеченности запасов и затрат собственными источниками</t>
  </si>
  <si>
    <t>Ко = (стр. 1300 - стр. 1100) / (стр. 1210 + стр. 1220)</t>
  </si>
  <si>
    <t>5. Частные показатели финансовой устойчивости (Лиференко Г.Н.)</t>
  </si>
  <si>
    <t>Показатели финансовой устойчивости (Лифиренко Г.Н.)</t>
  </si>
  <si>
    <t>4.3.</t>
  </si>
  <si>
    <t>4.4.</t>
  </si>
  <si>
    <t>4.5.</t>
  </si>
  <si>
    <t>4.6.</t>
  </si>
  <si>
    <t>4.7.</t>
  </si>
  <si>
    <t>Уровень финансового левериджа</t>
  </si>
  <si>
    <t>Коэффициент обеспеченности процентов к уплате</t>
  </si>
  <si>
    <t>TIE = (стр. 2300 + стр. 2330) / стр. 2330</t>
  </si>
  <si>
    <t>Коэффициент покрытия постоянных финансовых расходов</t>
  </si>
  <si>
    <t>FCC = (EBIT + Fixed Charge (before tax)) / (Fixed Charge (before tax) + Interest)</t>
  </si>
  <si>
    <t>Kfl = стр. 1400 / стр. 1300</t>
  </si>
  <si>
    <t>Выручка (нетто)</t>
  </si>
  <si>
    <t>Коэффициент оборачиваемости собственного капитала</t>
  </si>
  <si>
    <t>Коэффициент оборачиваемости заемного капитала</t>
  </si>
  <si>
    <t>Коэффициент оборачиваемости денежных средств</t>
  </si>
  <si>
    <t>6. Коэффициенты оборачиваемости</t>
  </si>
  <si>
    <t>Коэффициент оборачиваемости активов</t>
  </si>
  <si>
    <t>Коа = стр. 2110 / 0,5 х (стр. 1600 на начало года + стр.1600 на конец года)</t>
  </si>
  <si>
    <t>Коэффициент оборачиваемости текущих активов</t>
  </si>
  <si>
    <t>Кооа = стр. 2110 / 0,5 х (стр. 1200нг + стр.1200кг)</t>
  </si>
  <si>
    <t>Коэффициент оборачиваемости внеоборотных активов. Фондоотдача</t>
  </si>
  <si>
    <t>Фо = стр. 2110 / 0,5 х (стр. 1150нг + стр.1150кг)</t>
  </si>
  <si>
    <t>Коск = стр. 2110 №2 / 0,5 х (стр. 1300нг + стр.1300кг)</t>
  </si>
  <si>
    <t>Коэффициент оборачиваемости инвестированного капитала</t>
  </si>
  <si>
    <t>Кик = стр. 2110 №2 / (0,5 х (стр. 1300нг + стр.1300кг) + 0,5 х (стр. 1400нг + стр.1400кг))</t>
  </si>
  <si>
    <t>Кз = стр. 2110 №2 / (0,5 х (стр. 1500нг + стр.1500кг) + 0,5 х (стр. 1400нг + стр.1400кг))</t>
  </si>
  <si>
    <t>Коэффициент оборачиваемости дебиторской задолженности</t>
  </si>
  <si>
    <t>Кодз = стр. 2110 / 0,5 х (стр. 1230нг + стр.1230кг)</t>
  </si>
  <si>
    <t>Коэффициент оборачиваемости кредиторской задолженности</t>
  </si>
  <si>
    <t>Кокз = стр. 2110 / 0,5 х (стр. 1520нг + стр.1520кг)</t>
  </si>
  <si>
    <t>Коэффициент оборачиваемости материальных запасов</t>
  </si>
  <si>
    <t>Комз = стр. 2120 / 0,5 х ((стр. 1210 + стр. 1220)нг + (стр. 1210 + стр. 1220)кг)</t>
  </si>
  <si>
    <t>Кдс = стр. 2120 / 0,5 х (стр. 1250нг + стр. 1250кг)</t>
  </si>
  <si>
    <t>Период оборота совокупного капитала (в днях)</t>
  </si>
  <si>
    <t>Период оборота оборотных активов (в днях)</t>
  </si>
  <si>
    <t>Период оборота собственного капитала (в днях)</t>
  </si>
  <si>
    <t>Период оборота инвестированного капитала (в днях)</t>
  </si>
  <si>
    <t>Период оборота заемного капитала (в днях)</t>
  </si>
  <si>
    <t>Период оборота дебиторской задолженности</t>
  </si>
  <si>
    <t>Период оборота кредиторской задолженности</t>
  </si>
  <si>
    <t>Период оборачиваемости материальных запасов</t>
  </si>
  <si>
    <t>360/Коа</t>
  </si>
  <si>
    <t>360/Кооа</t>
  </si>
  <si>
    <t>360/Коск</t>
  </si>
  <si>
    <t>360/Кик</t>
  </si>
  <si>
    <t>360/Кз</t>
  </si>
  <si>
    <t>360/Кодз</t>
  </si>
  <si>
    <t>360/Кокз</t>
  </si>
  <si>
    <t>Период оборачиваемости денежных средств</t>
  </si>
  <si>
    <t>360/Кдс</t>
  </si>
  <si>
    <t>360/Комз</t>
  </si>
  <si>
    <t>Полная себестоимость товаров, работ или услуг</t>
  </si>
  <si>
    <t>Показатели рентабельности</t>
  </si>
  <si>
    <t>Коэффициент рентабельности продаж (ROS) по чистой прибыли</t>
  </si>
  <si>
    <t>Коэффициент рентабельности продаж (ROS) по прибыли от продаж</t>
  </si>
  <si>
    <t>Рентабельность производства</t>
  </si>
  <si>
    <t>Абсолютное отклонение (+/–)</t>
  </si>
  <si>
    <t>Темп роста (снижения), %</t>
  </si>
  <si>
    <t>1.</t>
  </si>
  <si>
    <t>2.</t>
  </si>
  <si>
    <t>Анализ финансовой устойчивости</t>
  </si>
  <si>
    <t>Система показателей рентабельности</t>
  </si>
  <si>
    <t>Анализ структуры прибыли до налогообложения</t>
  </si>
  <si>
    <t>Расходы</t>
  </si>
  <si>
    <t>уд.вес, %</t>
  </si>
  <si>
    <t>доходы от обычных видов деятельности</t>
  </si>
  <si>
    <t>проценты к получению</t>
  </si>
  <si>
    <t>прочие доходы</t>
  </si>
  <si>
    <t>расходы по обычным видам деятельности</t>
  </si>
  <si>
    <t>проценты к уплате</t>
  </si>
  <si>
    <t>прочие расходы</t>
  </si>
  <si>
    <t>Доходы</t>
  </si>
  <si>
    <t>Динамика структуры прибыли до налогообложения</t>
  </si>
  <si>
    <t>Динамика факторов формирования финансовых результатов деятельности</t>
  </si>
  <si>
    <t>Код строки</t>
  </si>
  <si>
    <t>Уровень к выручке в отчетном периоде, %</t>
  </si>
  <si>
    <t>Уровень к выручке в базисном периоде, %</t>
  </si>
  <si>
    <t>Отклонение уровня (+/–)</t>
  </si>
  <si>
    <t>Выполнение условия оптимизации прибыли от продаж</t>
  </si>
  <si>
    <t>Соотношение темпа роста прибыли от продаж и темпа роста прибыли до налогообложения</t>
  </si>
  <si>
    <t>денежная ед. (тыс. руб. млн. руб. и т.д.)</t>
  </si>
  <si>
    <t>Коэффициент обеспеченности собственными оборотными средствами</t>
  </si>
  <si>
    <t>Балльная оценка финансовой устойчивости</t>
  </si>
  <si>
    <t>Коэффициент обеспеченности запасов собственным капиталом</t>
  </si>
  <si>
    <t>7. Коэффициенты, характеризующие структуру капитала (Новашина Т.С.)</t>
  </si>
  <si>
    <t>больше 0,6</t>
  </si>
  <si>
    <t>Коэффициент заемного финансирования</t>
  </si>
  <si>
    <t>больше 0,7</t>
  </si>
  <si>
    <t xml:space="preserve">Кзф = стр. 1300 / (стр. 1400 + стр. 1500) </t>
  </si>
  <si>
    <t>Коэффициент обеспеченности собственными источниками финансирования</t>
  </si>
  <si>
    <t>Коэффициент обеспеченности оборотного капитала собственными источниками финансирования</t>
  </si>
  <si>
    <t>Коэффициент финансовой независимости в части формирования запасов и затрат</t>
  </si>
  <si>
    <t>Коэффициент обеспеченности запасов оборотным капиталом</t>
  </si>
  <si>
    <t>Ип = стр. 1100 / стр. 1700</t>
  </si>
  <si>
    <t>Коси = (стр. 1300 - стр. 1100) / стр. 1200</t>
  </si>
  <si>
    <t>Кфнз = (стр. 1300 - стр. 1100) / (стр. 1210 + стр. 1220)</t>
  </si>
  <si>
    <t>Коз = (стр. 1300 + стр. 1400 - стр. 1100) / стр. 1210</t>
  </si>
  <si>
    <t>Условия изменения оценки</t>
  </si>
  <si>
    <t>Границы классов согласно критериям</t>
  </si>
  <si>
    <t>1-й класс</t>
  </si>
  <si>
    <t>2-й класс</t>
  </si>
  <si>
    <t>3-й класс</t>
  </si>
  <si>
    <t>4-й класс</t>
  </si>
  <si>
    <t>не подлежит классификации</t>
  </si>
  <si>
    <t>За каждые 0,1 пункта посравнению с 0,5 снимается 4 балла</t>
  </si>
  <si>
    <t>0,5 и выше = 20 балл.</t>
  </si>
  <si>
    <t>0,4 и выше = 16 балл.</t>
  </si>
  <si>
    <t>0,3 и выше = 12 балл.</t>
  </si>
  <si>
    <t>0,2 и выше = 8 балл.</t>
  </si>
  <si>
    <t>0,2 и выше = 4 балл.</t>
  </si>
  <si>
    <t>Менее 0,1 = 0 балл.</t>
  </si>
  <si>
    <t>За каждые 0,1 пункта посравнению с 1,5 снимается 3 балла</t>
  </si>
  <si>
    <t>1,5 и выше = 18 балл.</t>
  </si>
  <si>
    <t>1,4 и выше = 15 балл.</t>
  </si>
  <si>
    <t>1,3 и выше = 12 балл.</t>
  </si>
  <si>
    <t>1,2 - 1,1 = 9 - 6 балл.</t>
  </si>
  <si>
    <t>1,0 = 3 балл.</t>
  </si>
  <si>
    <t>Менее 1,0 = 0 балл.</t>
  </si>
  <si>
    <t>За каждые 0,1 пункта посравнению с 2,0 снимается 1,5 балла</t>
  </si>
  <si>
    <t>2,0 и выше = 16,5 балл.</t>
  </si>
  <si>
    <t>1,9 - 1,7 = 15 - 12 балл.</t>
  </si>
  <si>
    <t>1,6 - 1,4 = 10,5 - 7,5 балл.</t>
  </si>
  <si>
    <t>1,3 - 1,1 = 6 - 3 балл.</t>
  </si>
  <si>
    <t>1,0 = 1,5 балл.</t>
  </si>
  <si>
    <t>За каждые 0,01 пункта посравнению с 0,6 снимается 0,8 балла</t>
  </si>
  <si>
    <t>0,6 и выше = 17 балл.</t>
  </si>
  <si>
    <t>0,59 - 0,54 = 16,2 - 12,2 балл.</t>
  </si>
  <si>
    <t>0,53 - 0,48 = 11,4 - 7,4 балл.</t>
  </si>
  <si>
    <t>0,47 - 0,41 = 6,6 - 1,8 балл.</t>
  </si>
  <si>
    <t>0,4 = 1 балл.</t>
  </si>
  <si>
    <t>Менее 0,4 = 0 балл.</t>
  </si>
  <si>
    <t>За каждые 0,1 пункта посравнению с 0,5 снимается 3 балла</t>
  </si>
  <si>
    <t>0,5 и выше = 15 балл.</t>
  </si>
  <si>
    <t>0,4 и выше = 12 балл.</t>
  </si>
  <si>
    <t>0,3 и выше = 9 балл.</t>
  </si>
  <si>
    <t>0,2 и выше = 6 балл.</t>
  </si>
  <si>
    <t>0,1 и выше = 3 балл.</t>
  </si>
  <si>
    <t>За каждые 0,1 пункта посравнению с 1,0 снимается 2,5 балла</t>
  </si>
  <si>
    <t>1,0 и выше = 13,5 балл.</t>
  </si>
  <si>
    <t>0,9 и выше = 11 балл.</t>
  </si>
  <si>
    <t>0,8 и выше = 8,5 балл.</t>
  </si>
  <si>
    <t>0,7 - 0,6 = 6,0 - 3,5 балл.</t>
  </si>
  <si>
    <t>0,5 и выше = 1 балл.</t>
  </si>
  <si>
    <t>Менее 0,5 = 0 балл.</t>
  </si>
  <si>
    <t>Группировка показателей по классам финансовой устойчивости по сумме баллов</t>
  </si>
  <si>
    <t>Оценка показателей финансовой устойчивости</t>
  </si>
  <si>
    <t>Минимальное значение границы</t>
  </si>
  <si>
    <t>100 - 94</t>
  </si>
  <si>
    <t>93 - 65</t>
  </si>
  <si>
    <t>64 - 52</t>
  </si>
  <si>
    <t>51 - 21</t>
  </si>
  <si>
    <t>20 - 0</t>
  </si>
  <si>
    <t>0</t>
  </si>
  <si>
    <t>ВСЕГО</t>
  </si>
  <si>
    <t>5-й класс</t>
  </si>
  <si>
    <t>Класс финансовой устойчивости</t>
  </si>
  <si>
    <t>В таблицу вносим значения баллов</t>
  </si>
  <si>
    <t>показателей</t>
  </si>
  <si>
    <t>согласно табл. группировка</t>
  </si>
  <si>
    <t>2019г.</t>
  </si>
  <si>
    <t>2020г.</t>
  </si>
</sst>
</file>

<file path=xl/styles.xml><?xml version="1.0" encoding="utf-8"?>
<styleSheet xmlns="http://schemas.openxmlformats.org/spreadsheetml/2006/main">
  <numFmts count="7">
    <numFmt numFmtId="165" formatCode="#,##0_ ;[Red]\-#,##0\ "/>
    <numFmt numFmtId="166" formatCode="_(* #,##0_);_(* \(#,##0\);_(* &quot;-&quot;_);_(@_)"/>
    <numFmt numFmtId="168" formatCode="0.0%"/>
    <numFmt numFmtId="169" formatCode="#,##0.00_ ;[Red]\-#,##0.00\ "/>
    <numFmt numFmtId="170" formatCode="#,##0.0_ ;[Red]\-#,##0.0\ "/>
    <numFmt numFmtId="171" formatCode="0.0_ ;[Red]\-0.0\ "/>
    <numFmt numFmtId="174" formatCode="_(* #,##0.00_);_(* \(#,##0.00\);_(* &quot;-&quot;_);_(@_)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290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/>
    <xf numFmtId="0" fontId="0" fillId="2" borderId="0" xfId="0" applyFill="1" applyAlignment="1">
      <alignment horizontal="right"/>
    </xf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7" fillId="2" borderId="0" xfId="0" applyFont="1" applyFill="1"/>
    <xf numFmtId="0" fontId="0" fillId="2" borderId="6" xfId="0" applyFill="1" applyBorder="1" applyAlignment="1">
      <alignment horizontal="center" vertical="center" wrapText="1"/>
    </xf>
    <xf numFmtId="0" fontId="2" fillId="6" borderId="4" xfId="0" applyFont="1" applyFill="1" applyBorder="1"/>
    <xf numFmtId="0" fontId="2" fillId="6" borderId="7" xfId="0" applyFont="1" applyFill="1" applyBorder="1" applyAlignment="1">
      <alignment horizontal="center" vertical="center"/>
    </xf>
    <xf numFmtId="165" fontId="2" fillId="6" borderId="7" xfId="0" applyNumberFormat="1" applyFont="1" applyFill="1" applyBorder="1" applyAlignment="1">
      <alignment vertical="center"/>
    </xf>
    <xf numFmtId="165" fontId="2" fillId="6" borderId="5" xfId="0" applyNumberFormat="1" applyFont="1" applyFill="1" applyBorder="1" applyAlignment="1">
      <alignment vertical="center"/>
    </xf>
    <xf numFmtId="0" fontId="0" fillId="7" borderId="8" xfId="0" applyFill="1" applyBorder="1" applyAlignment="1">
      <alignment wrapText="1"/>
    </xf>
    <xf numFmtId="0" fontId="0" fillId="7" borderId="9" xfId="0" applyFill="1" applyBorder="1" applyAlignment="1">
      <alignment horizontal="center" vertical="center"/>
    </xf>
    <xf numFmtId="165" fontId="0" fillId="7" borderId="10" xfId="0" applyNumberFormat="1" applyFill="1" applyBorder="1" applyAlignment="1">
      <alignment vertical="center"/>
    </xf>
    <xf numFmtId="165" fontId="0" fillId="7" borderId="11" xfId="0" applyNumberFormat="1" applyFill="1" applyBorder="1" applyAlignment="1">
      <alignment vertical="center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horizontal="center" vertical="center"/>
    </xf>
    <xf numFmtId="166" fontId="0" fillId="3" borderId="14" xfId="0" applyNumberFormat="1" applyFill="1" applyBorder="1" applyAlignment="1">
      <alignment vertical="center"/>
    </xf>
    <xf numFmtId="166" fontId="0" fillId="3" borderId="15" xfId="0" applyNumberFormat="1" applyFill="1" applyBorder="1" applyAlignment="1">
      <alignment vertical="center"/>
    </xf>
    <xf numFmtId="166" fontId="0" fillId="3" borderId="16" xfId="0" applyNumberFormat="1" applyFill="1" applyBorder="1" applyAlignment="1">
      <alignment vertical="center"/>
    </xf>
    <xf numFmtId="166" fontId="0" fillId="3" borderId="12" xfId="0" applyNumberFormat="1" applyFill="1" applyBorder="1" applyAlignment="1">
      <alignment vertical="center"/>
    </xf>
    <xf numFmtId="166" fontId="0" fillId="3" borderId="17" xfId="0" applyNumberFormat="1" applyFill="1" applyBorder="1" applyAlignment="1">
      <alignment vertical="center"/>
    </xf>
    <xf numFmtId="166" fontId="0" fillId="3" borderId="18" xfId="0" applyNumberFormat="1" applyFill="1" applyBorder="1" applyAlignment="1">
      <alignment vertical="center"/>
    </xf>
    <xf numFmtId="166" fontId="0" fillId="3" borderId="19" xfId="0" applyNumberFormat="1" applyFill="1" applyBorder="1" applyAlignment="1">
      <alignment vertical="center"/>
    </xf>
    <xf numFmtId="166" fontId="0" fillId="3" borderId="20" xfId="0" applyNumberFormat="1" applyFill="1" applyBorder="1" applyAlignment="1">
      <alignment vertical="center"/>
    </xf>
    <xf numFmtId="166" fontId="0" fillId="3" borderId="21" xfId="0" applyNumberFormat="1" applyFill="1" applyBorder="1" applyAlignment="1">
      <alignment vertical="center"/>
    </xf>
    <xf numFmtId="0" fontId="0" fillId="4" borderId="6" xfId="0" applyFill="1" applyBorder="1" applyAlignment="1">
      <alignment wrapText="1"/>
    </xf>
    <xf numFmtId="0" fontId="0" fillId="4" borderId="6" xfId="0" applyFill="1" applyBorder="1" applyAlignment="1">
      <alignment horizontal="center" vertical="center"/>
    </xf>
    <xf numFmtId="166" fontId="0" fillId="4" borderId="6" xfId="0" applyNumberFormat="1" applyFont="1" applyFill="1" applyBorder="1" applyAlignment="1">
      <alignment vertical="center"/>
    </xf>
    <xf numFmtId="0" fontId="0" fillId="2" borderId="22" xfId="0" applyFill="1" applyBorder="1" applyAlignment="1">
      <alignment wrapText="1"/>
    </xf>
    <xf numFmtId="0" fontId="0" fillId="2" borderId="23" xfId="0" applyFill="1" applyBorder="1" applyAlignment="1">
      <alignment horizontal="center" vertical="center"/>
    </xf>
    <xf numFmtId="0" fontId="2" fillId="5" borderId="6" xfId="0" applyFont="1" applyFill="1" applyBorder="1" applyAlignment="1">
      <alignment wrapText="1"/>
    </xf>
    <xf numFmtId="0" fontId="2" fillId="5" borderId="6" xfId="0" applyFont="1" applyFill="1" applyBorder="1" applyAlignment="1">
      <alignment horizontal="center" vertical="center"/>
    </xf>
    <xf numFmtId="166" fontId="2" fillId="5" borderId="6" xfId="0" applyNumberFormat="1" applyFont="1" applyFill="1" applyBorder="1" applyAlignment="1">
      <alignment vertical="center"/>
    </xf>
    <xf numFmtId="165" fontId="0" fillId="2" borderId="0" xfId="0" applyNumberFormat="1" applyFill="1"/>
    <xf numFmtId="165" fontId="0" fillId="2" borderId="0" xfId="0" applyNumberFormat="1" applyFill="1" applyAlignment="1">
      <alignment vertical="center"/>
    </xf>
    <xf numFmtId="0" fontId="0" fillId="2" borderId="0" xfId="0" applyFill="1" applyBorder="1" applyAlignment="1">
      <alignment horizontal="center" vertical="center" wrapText="1"/>
    </xf>
    <xf numFmtId="166" fontId="0" fillId="2" borderId="0" xfId="0" applyNumberFormat="1" applyFill="1" applyBorder="1" applyAlignment="1">
      <alignment vertical="center"/>
    </xf>
    <xf numFmtId="166" fontId="0" fillId="2" borderId="0" xfId="0" applyNumberFormat="1" applyFont="1" applyFill="1" applyBorder="1" applyAlignment="1">
      <alignment vertical="center"/>
    </xf>
    <xf numFmtId="166" fontId="6" fillId="3" borderId="12" xfId="0" applyNumberFormat="1" applyFont="1" applyFill="1" applyBorder="1" applyAlignment="1"/>
    <xf numFmtId="166" fontId="6" fillId="3" borderId="17" xfId="0" applyNumberFormat="1" applyFont="1" applyFill="1" applyBorder="1" applyAlignment="1"/>
    <xf numFmtId="166" fontId="6" fillId="3" borderId="18" xfId="0" applyNumberFormat="1" applyFont="1" applyFill="1" applyBorder="1" applyAlignment="1"/>
    <xf numFmtId="166" fontId="6" fillId="2" borderId="0" xfId="0" applyNumberFormat="1" applyFont="1" applyFill="1" applyBorder="1" applyAlignment="1"/>
    <xf numFmtId="166" fontId="0" fillId="2" borderId="0" xfId="0" applyNumberFormat="1" applyFill="1"/>
    <xf numFmtId="166" fontId="6" fillId="3" borderId="14" xfId="0" applyNumberFormat="1" applyFont="1" applyFill="1" applyBorder="1" applyAlignment="1"/>
    <xf numFmtId="166" fontId="6" fillId="3" borderId="15" xfId="0" applyNumberFormat="1" applyFont="1" applyFill="1" applyBorder="1" applyAlignment="1"/>
    <xf numFmtId="166" fontId="6" fillId="3" borderId="16" xfId="0" applyNumberFormat="1" applyFont="1" applyFill="1" applyBorder="1" applyAlignment="1"/>
    <xf numFmtId="166" fontId="6" fillId="3" borderId="19" xfId="0" applyNumberFormat="1" applyFont="1" applyFill="1" applyBorder="1" applyAlignment="1"/>
    <xf numFmtId="166" fontId="6" fillId="3" borderId="20" xfId="0" applyNumberFormat="1" applyFont="1" applyFill="1" applyBorder="1" applyAlignment="1"/>
    <xf numFmtId="166" fontId="6" fillId="3" borderId="21" xfId="0" applyNumberFormat="1" applyFont="1" applyFill="1" applyBorder="1" applyAlignment="1"/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vertical="center"/>
    </xf>
    <xf numFmtId="166" fontId="2" fillId="2" borderId="0" xfId="0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 wrapText="1"/>
    </xf>
    <xf numFmtId="165" fontId="0" fillId="5" borderId="15" xfId="0" applyNumberFormat="1" applyFill="1" applyBorder="1" applyAlignment="1">
      <alignment vertical="center"/>
    </xf>
    <xf numFmtId="165" fontId="0" fillId="5" borderId="17" xfId="0" applyNumberFormat="1" applyFill="1" applyBorder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8" fontId="0" fillId="4" borderId="17" xfId="1" applyNumberFormat="1" applyFont="1" applyFill="1" applyBorder="1" applyAlignment="1">
      <alignment vertical="center"/>
    </xf>
    <xf numFmtId="168" fontId="0" fillId="4" borderId="18" xfId="1" applyNumberFormat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 wrapText="1"/>
    </xf>
    <xf numFmtId="0" fontId="12" fillId="2" borderId="0" xfId="0" applyFont="1" applyFill="1"/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 wrapText="1"/>
    </xf>
    <xf numFmtId="168" fontId="0" fillId="4" borderId="15" xfId="1" applyNumberFormat="1" applyFont="1" applyFill="1" applyBorder="1" applyAlignment="1">
      <alignment horizontal="center" vertical="center"/>
    </xf>
    <xf numFmtId="165" fontId="0" fillId="4" borderId="15" xfId="0" applyNumberFormat="1" applyFill="1" applyBorder="1" applyAlignment="1">
      <alignment vertical="center"/>
    </xf>
    <xf numFmtId="168" fontId="0" fillId="4" borderId="15" xfId="1" applyNumberFormat="1" applyFont="1" applyFill="1" applyBorder="1" applyAlignment="1">
      <alignment vertical="center"/>
    </xf>
    <xf numFmtId="168" fontId="0" fillId="4" borderId="16" xfId="1" applyNumberFormat="1" applyFont="1" applyFill="1" applyBorder="1" applyAlignment="1">
      <alignment vertical="center"/>
    </xf>
    <xf numFmtId="0" fontId="0" fillId="2" borderId="12" xfId="0" applyFill="1" applyBorder="1" applyAlignment="1">
      <alignment horizontal="left" vertical="center" wrapText="1"/>
    </xf>
    <xf numFmtId="168" fontId="0" fillId="4" borderId="17" xfId="1" applyNumberFormat="1" applyFont="1" applyFill="1" applyBorder="1" applyAlignment="1">
      <alignment horizontal="center" vertical="center"/>
    </xf>
    <xf numFmtId="165" fontId="0" fillId="4" borderId="17" xfId="0" applyNumberFormat="1" applyFill="1" applyBorder="1" applyAlignment="1">
      <alignment vertical="center"/>
    </xf>
    <xf numFmtId="0" fontId="2" fillId="2" borderId="29" xfId="0" applyFont="1" applyFill="1" applyBorder="1"/>
    <xf numFmtId="165" fontId="2" fillId="4" borderId="30" xfId="0" applyNumberFormat="1" applyFont="1" applyFill="1" applyBorder="1" applyAlignment="1">
      <alignment vertical="center"/>
    </xf>
    <xf numFmtId="168" fontId="2" fillId="4" borderId="30" xfId="1" applyNumberFormat="1" applyFont="1" applyFill="1" applyBorder="1" applyAlignment="1">
      <alignment horizontal="center" vertical="center"/>
    </xf>
    <xf numFmtId="168" fontId="2" fillId="4" borderId="30" xfId="1" applyNumberFormat="1" applyFont="1" applyFill="1" applyBorder="1" applyAlignment="1">
      <alignment vertical="center"/>
    </xf>
    <xf numFmtId="168" fontId="2" fillId="4" borderId="31" xfId="1" applyNumberFormat="1" applyFont="1" applyFill="1" applyBorder="1" applyAlignment="1">
      <alignment vertical="center"/>
    </xf>
    <xf numFmtId="0" fontId="0" fillId="2" borderId="19" xfId="0" applyFill="1" applyBorder="1" applyAlignment="1">
      <alignment horizontal="left" vertical="center" wrapText="1"/>
    </xf>
    <xf numFmtId="169" fontId="0" fillId="4" borderId="20" xfId="0" applyNumberFormat="1" applyFill="1" applyBorder="1" applyAlignment="1">
      <alignment vertical="center"/>
    </xf>
    <xf numFmtId="165" fontId="0" fillId="3" borderId="15" xfId="0" applyNumberFormat="1" applyFill="1" applyBorder="1" applyAlignment="1">
      <alignment vertical="center"/>
    </xf>
    <xf numFmtId="165" fontId="0" fillId="3" borderId="17" xfId="0" applyNumberFormat="1" applyFill="1" applyBorder="1" applyAlignment="1">
      <alignment vertical="center"/>
    </xf>
    <xf numFmtId="168" fontId="0" fillId="2" borderId="35" xfId="1" applyNumberFormat="1" applyFont="1" applyFill="1" applyBorder="1" applyAlignment="1">
      <alignment horizontal="center" vertical="center"/>
    </xf>
    <xf numFmtId="168" fontId="0" fillId="2" borderId="10" xfId="1" applyNumberFormat="1" applyFont="1" applyFill="1" applyBorder="1" applyAlignment="1">
      <alignment horizontal="center" vertical="center"/>
    </xf>
    <xf numFmtId="165" fontId="0" fillId="2" borderId="10" xfId="0" applyNumberFormat="1" applyFill="1" applyBorder="1" applyAlignment="1">
      <alignment vertical="center"/>
    </xf>
    <xf numFmtId="168" fontId="0" fillId="2" borderId="10" xfId="1" applyNumberFormat="1" applyFont="1" applyFill="1" applyBorder="1" applyAlignment="1">
      <alignment vertical="center"/>
    </xf>
    <xf numFmtId="168" fontId="0" fillId="2" borderId="11" xfId="1" applyNumberFormat="1" applyFont="1" applyFill="1" applyBorder="1" applyAlignment="1">
      <alignment vertical="center"/>
    </xf>
    <xf numFmtId="168" fontId="0" fillId="2" borderId="36" xfId="1" applyNumberFormat="1" applyFont="1" applyFill="1" applyBorder="1" applyAlignment="1">
      <alignment horizontal="center" vertical="center"/>
    </xf>
    <xf numFmtId="168" fontId="0" fillId="2" borderId="0" xfId="1" applyNumberFormat="1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vertical="center"/>
    </xf>
    <xf numFmtId="168" fontId="0" fillId="2" borderId="0" xfId="1" applyNumberFormat="1" applyFont="1" applyFill="1" applyBorder="1" applyAlignment="1">
      <alignment vertical="center"/>
    </xf>
    <xf numFmtId="168" fontId="0" fillId="2" borderId="37" xfId="1" applyNumberFormat="1" applyFont="1" applyFill="1" applyBorder="1" applyAlignment="1">
      <alignment vertical="center"/>
    </xf>
    <xf numFmtId="169" fontId="0" fillId="4" borderId="17" xfId="0" applyNumberForma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168" fontId="0" fillId="5" borderId="16" xfId="1" applyNumberFormat="1" applyFont="1" applyFill="1" applyBorder="1" applyAlignment="1">
      <alignment vertical="center"/>
    </xf>
    <xf numFmtId="168" fontId="0" fillId="5" borderId="18" xfId="1" applyNumberFormat="1" applyFont="1" applyFill="1" applyBorder="1" applyAlignment="1">
      <alignment vertical="center"/>
    </xf>
    <xf numFmtId="165" fontId="0" fillId="5" borderId="20" xfId="0" applyNumberFormat="1" applyFill="1" applyBorder="1" applyAlignment="1">
      <alignment vertical="center"/>
    </xf>
    <xf numFmtId="168" fontId="0" fillId="5" borderId="21" xfId="1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2" borderId="38" xfId="0" applyFill="1" applyBorder="1" applyAlignment="1">
      <alignment horizontal="left" vertical="center" wrapText="1"/>
    </xf>
    <xf numFmtId="165" fontId="0" fillId="5" borderId="39" xfId="0" applyNumberFormat="1" applyFill="1" applyBorder="1" applyAlignment="1">
      <alignment vertical="center"/>
    </xf>
    <xf numFmtId="0" fontId="0" fillId="2" borderId="17" xfId="0" applyFill="1" applyBorder="1" applyAlignment="1">
      <alignment vertical="center" wrapText="1"/>
    </xf>
    <xf numFmtId="169" fontId="0" fillId="4" borderId="15" xfId="0" applyNumberFormat="1" applyFill="1" applyBorder="1" applyAlignment="1">
      <alignment vertical="center"/>
    </xf>
    <xf numFmtId="168" fontId="0" fillId="2" borderId="40" xfId="1" applyNumberFormat="1" applyFont="1" applyFill="1" applyBorder="1" applyAlignment="1">
      <alignment horizontal="center" vertical="center"/>
    </xf>
    <xf numFmtId="168" fontId="0" fillId="2" borderId="9" xfId="1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>
      <alignment vertical="center"/>
    </xf>
    <xf numFmtId="168" fontId="0" fillId="2" borderId="9" xfId="1" applyNumberFormat="1" applyFont="1" applyFill="1" applyBorder="1" applyAlignment="1">
      <alignment vertical="center"/>
    </xf>
    <xf numFmtId="168" fontId="0" fillId="2" borderId="26" xfId="1" applyNumberFormat="1" applyFont="1" applyFill="1" applyBorder="1" applyAlignment="1">
      <alignment vertical="center"/>
    </xf>
    <xf numFmtId="168" fontId="0" fillId="2" borderId="41" xfId="1" applyNumberFormat="1" applyFont="1" applyFill="1" applyBorder="1" applyAlignment="1">
      <alignment horizontal="center" vertical="center"/>
    </xf>
    <xf numFmtId="168" fontId="0" fillId="2" borderId="42" xfId="1" applyNumberFormat="1" applyFont="1" applyFill="1" applyBorder="1" applyAlignment="1">
      <alignment horizontal="center" vertical="center"/>
    </xf>
    <xf numFmtId="165" fontId="0" fillId="2" borderId="42" xfId="0" applyNumberFormat="1" applyFill="1" applyBorder="1" applyAlignment="1">
      <alignment vertical="center"/>
    </xf>
    <xf numFmtId="168" fontId="0" fillId="2" borderId="42" xfId="1" applyNumberFormat="1" applyFont="1" applyFill="1" applyBorder="1" applyAlignment="1">
      <alignment vertical="center"/>
    </xf>
    <xf numFmtId="168" fontId="0" fillId="2" borderId="43" xfId="1" applyNumberFormat="1" applyFont="1" applyFill="1" applyBorder="1" applyAlignment="1">
      <alignment vertical="center"/>
    </xf>
    <xf numFmtId="168" fontId="0" fillId="2" borderId="44" xfId="1" applyNumberFormat="1" applyFont="1" applyFill="1" applyBorder="1" applyAlignment="1">
      <alignment horizontal="center" vertical="center"/>
    </xf>
    <xf numFmtId="168" fontId="0" fillId="2" borderId="45" xfId="1" applyNumberFormat="1" applyFont="1" applyFill="1" applyBorder="1" applyAlignment="1">
      <alignment horizontal="center" vertical="center"/>
    </xf>
    <xf numFmtId="165" fontId="0" fillId="2" borderId="45" xfId="0" applyNumberFormat="1" applyFill="1" applyBorder="1" applyAlignment="1">
      <alignment vertical="center"/>
    </xf>
    <xf numFmtId="168" fontId="0" fillId="2" borderId="45" xfId="1" applyNumberFormat="1" applyFont="1" applyFill="1" applyBorder="1" applyAlignment="1">
      <alignment vertical="center"/>
    </xf>
    <xf numFmtId="168" fontId="0" fillId="2" borderId="46" xfId="1" applyNumberFormat="1" applyFont="1" applyFill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 wrapText="1"/>
    </xf>
    <xf numFmtId="165" fontId="6" fillId="5" borderId="15" xfId="0" applyNumberFormat="1" applyFont="1" applyFill="1" applyBorder="1" applyAlignment="1">
      <alignment vertical="center"/>
    </xf>
    <xf numFmtId="165" fontId="6" fillId="4" borderId="15" xfId="0" applyNumberFormat="1" applyFont="1" applyFill="1" applyBorder="1" applyAlignment="1">
      <alignment vertical="center"/>
    </xf>
    <xf numFmtId="168" fontId="6" fillId="4" borderId="15" xfId="1" applyNumberFormat="1" applyFont="1" applyFill="1" applyBorder="1" applyAlignment="1">
      <alignment vertical="center"/>
    </xf>
    <xf numFmtId="168" fontId="6" fillId="4" borderId="16" xfId="1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center" vertical="center" wrapText="1"/>
    </xf>
    <xf numFmtId="165" fontId="6" fillId="5" borderId="17" xfId="0" applyNumberFormat="1" applyFont="1" applyFill="1" applyBorder="1" applyAlignment="1">
      <alignment vertical="center"/>
    </xf>
    <xf numFmtId="165" fontId="6" fillId="4" borderId="17" xfId="0" applyNumberFormat="1" applyFont="1" applyFill="1" applyBorder="1" applyAlignment="1">
      <alignment vertical="center"/>
    </xf>
    <xf numFmtId="168" fontId="6" fillId="4" borderId="17" xfId="1" applyNumberFormat="1" applyFont="1" applyFill="1" applyBorder="1" applyAlignment="1">
      <alignment vertical="center"/>
    </xf>
    <xf numFmtId="168" fontId="6" fillId="4" borderId="18" xfId="1" applyNumberFormat="1" applyFont="1" applyFill="1" applyBorder="1" applyAlignment="1">
      <alignment vertical="center"/>
    </xf>
    <xf numFmtId="169" fontId="6" fillId="4" borderId="17" xfId="0" applyNumberFormat="1" applyFont="1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center" vertical="center" wrapText="1"/>
    </xf>
    <xf numFmtId="168" fontId="6" fillId="4" borderId="20" xfId="1" applyNumberFormat="1" applyFont="1" applyFill="1" applyBorder="1" applyAlignment="1">
      <alignment vertical="center"/>
    </xf>
    <xf numFmtId="168" fontId="6" fillId="4" borderId="21" xfId="1" applyNumberFormat="1" applyFont="1" applyFill="1" applyBorder="1" applyAlignment="1">
      <alignment vertical="center"/>
    </xf>
    <xf numFmtId="0" fontId="16" fillId="2" borderId="0" xfId="2" applyFont="1" applyFill="1"/>
    <xf numFmtId="0" fontId="12" fillId="7" borderId="8" xfId="0" applyFont="1" applyFill="1" applyBorder="1" applyAlignment="1">
      <alignment vertical="center"/>
    </xf>
    <xf numFmtId="0" fontId="0" fillId="7" borderId="9" xfId="0" applyFill="1" applyBorder="1"/>
    <xf numFmtId="0" fontId="0" fillId="7" borderId="26" xfId="0" applyFill="1" applyBorder="1"/>
    <xf numFmtId="0" fontId="8" fillId="2" borderId="17" xfId="0" applyFont="1" applyFill="1" applyBorder="1" applyAlignment="1">
      <alignment horizontal="center" vertical="center" wrapText="1"/>
    </xf>
    <xf numFmtId="169" fontId="6" fillId="5" borderId="17" xfId="0" applyNumberFormat="1" applyFont="1" applyFill="1" applyBorder="1" applyAlignment="1">
      <alignment vertical="center"/>
    </xf>
    <xf numFmtId="169" fontId="6" fillId="5" borderId="20" xfId="0" applyNumberFormat="1" applyFont="1" applyFill="1" applyBorder="1" applyAlignment="1">
      <alignment vertical="center"/>
    </xf>
    <xf numFmtId="0" fontId="0" fillId="2" borderId="0" xfId="0" applyFont="1" applyFill="1"/>
    <xf numFmtId="0" fontId="2" fillId="2" borderId="0" xfId="0" applyFont="1" applyFill="1"/>
    <xf numFmtId="0" fontId="9" fillId="2" borderId="0" xfId="0" applyFont="1" applyFill="1"/>
    <xf numFmtId="168" fontId="6" fillId="4" borderId="47" xfId="1" applyNumberFormat="1" applyFont="1" applyFill="1" applyBorder="1" applyAlignment="1">
      <alignment vertical="center"/>
    </xf>
    <xf numFmtId="168" fontId="6" fillId="4" borderId="48" xfId="1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2" fillId="7" borderId="49" xfId="0" applyFont="1" applyFill="1" applyBorder="1" applyAlignment="1">
      <alignment vertical="center"/>
    </xf>
    <xf numFmtId="0" fontId="17" fillId="7" borderId="32" xfId="0" applyFont="1" applyFill="1" applyBorder="1"/>
    <xf numFmtId="0" fontId="17" fillId="7" borderId="50" xfId="0" applyFont="1" applyFill="1" applyBorder="1"/>
    <xf numFmtId="0" fontId="0" fillId="2" borderId="17" xfId="0" applyFont="1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69" fontId="6" fillId="4" borderId="20" xfId="0" applyNumberFormat="1" applyFont="1" applyFill="1" applyBorder="1" applyAlignment="1">
      <alignment vertical="center"/>
    </xf>
    <xf numFmtId="168" fontId="6" fillId="2" borderId="42" xfId="1" applyNumberFormat="1" applyFont="1" applyFill="1" applyBorder="1" applyAlignment="1">
      <alignment vertical="center"/>
    </xf>
    <xf numFmtId="168" fontId="6" fillId="2" borderId="43" xfId="1" applyNumberFormat="1" applyFont="1" applyFill="1" applyBorder="1" applyAlignment="1">
      <alignment vertical="center"/>
    </xf>
    <xf numFmtId="170" fontId="6" fillId="3" borderId="17" xfId="1" applyNumberFormat="1" applyFont="1" applyFill="1" applyBorder="1" applyAlignment="1">
      <alignment vertical="center"/>
    </xf>
    <xf numFmtId="170" fontId="6" fillId="4" borderId="17" xfId="1" applyNumberFormat="1" applyFont="1" applyFill="1" applyBorder="1" applyAlignment="1">
      <alignment vertical="center"/>
    </xf>
    <xf numFmtId="0" fontId="8" fillId="2" borderId="27" xfId="0" applyFont="1" applyFill="1" applyBorder="1" applyAlignment="1">
      <alignment horizontal="center" vertical="center" wrapText="1"/>
    </xf>
    <xf numFmtId="171" fontId="6" fillId="4" borderId="27" xfId="1" applyNumberFormat="1" applyFont="1" applyFill="1" applyBorder="1" applyAlignment="1">
      <alignment vertical="center"/>
    </xf>
    <xf numFmtId="168" fontId="6" fillId="4" borderId="27" xfId="1" applyNumberFormat="1" applyFont="1" applyFill="1" applyBorder="1" applyAlignment="1">
      <alignment vertical="center"/>
    </xf>
    <xf numFmtId="168" fontId="6" fillId="4" borderId="28" xfId="1" applyNumberFormat="1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left" vertical="center" wrapText="1"/>
    </xf>
    <xf numFmtId="168" fontId="18" fillId="4" borderId="30" xfId="1" applyNumberFormat="1" applyFont="1" applyFill="1" applyBorder="1" applyAlignment="1">
      <alignment vertical="center"/>
    </xf>
    <xf numFmtId="168" fontId="18" fillId="4" borderId="31" xfId="1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19" fillId="2" borderId="0" xfId="2" applyFont="1" applyFill="1"/>
    <xf numFmtId="16" fontId="8" fillId="2" borderId="12" xfId="0" applyNumberFormat="1" applyFont="1" applyFill="1" applyBorder="1" applyAlignment="1">
      <alignment horizontal="center" vertical="center"/>
    </xf>
    <xf numFmtId="165" fontId="0" fillId="2" borderId="24" xfId="0" applyNumberFormat="1" applyFill="1" applyBorder="1" applyAlignment="1">
      <alignment horizontal="center" vertical="center"/>
    </xf>
    <xf numFmtId="165" fontId="0" fillId="2" borderId="25" xfId="0" applyNumberFormat="1" applyFill="1" applyBorder="1" applyAlignment="1">
      <alignment horizontal="center" vertical="center"/>
    </xf>
    <xf numFmtId="165" fontId="0" fillId="2" borderId="34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0" fontId="0" fillId="2" borderId="0" xfId="0" applyFill="1" applyAlignment="1"/>
    <xf numFmtId="0" fontId="8" fillId="2" borderId="2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left" vertical="center" wrapText="1"/>
    </xf>
    <xf numFmtId="168" fontId="6" fillId="4" borderId="30" xfId="1" applyNumberFormat="1" applyFont="1" applyFill="1" applyBorder="1" applyAlignment="1">
      <alignment vertical="center"/>
    </xf>
    <xf numFmtId="0" fontId="12" fillId="7" borderId="17" xfId="0" applyFont="1" applyFill="1" applyBorder="1" applyAlignment="1">
      <alignment vertical="center"/>
    </xf>
    <xf numFmtId="0" fontId="17" fillId="7" borderId="17" xfId="0" applyFont="1" applyFill="1" applyBorder="1"/>
    <xf numFmtId="0" fontId="16" fillId="2" borderId="47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 wrapText="1"/>
    </xf>
    <xf numFmtId="168" fontId="6" fillId="4" borderId="39" xfId="1" applyNumberFormat="1" applyFont="1" applyFill="1" applyBorder="1" applyAlignment="1">
      <alignment vertical="center"/>
    </xf>
    <xf numFmtId="0" fontId="0" fillId="2" borderId="15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 indent="1"/>
    </xf>
    <xf numFmtId="0" fontId="0" fillId="2" borderId="27" xfId="0" applyFill="1" applyBorder="1" applyAlignment="1">
      <alignment horizontal="left" vertical="center" wrapText="1" indent="1"/>
    </xf>
    <xf numFmtId="168" fontId="0" fillId="4" borderId="15" xfId="1" applyNumberFormat="1" applyFont="1" applyFill="1" applyBorder="1"/>
    <xf numFmtId="168" fontId="0" fillId="4" borderId="17" xfId="1" applyNumberFormat="1" applyFont="1" applyFill="1" applyBorder="1"/>
    <xf numFmtId="168" fontId="0" fillId="4" borderId="27" xfId="1" applyNumberFormat="1" applyFont="1" applyFill="1" applyBorder="1"/>
    <xf numFmtId="168" fontId="0" fillId="4" borderId="16" xfId="1" applyNumberFormat="1" applyFont="1" applyFill="1" applyBorder="1"/>
    <xf numFmtId="168" fontId="0" fillId="4" borderId="18" xfId="1" applyNumberFormat="1" applyFont="1" applyFill="1" applyBorder="1"/>
    <xf numFmtId="168" fontId="0" fillId="4" borderId="28" xfId="1" applyNumberFormat="1" applyFont="1" applyFill="1" applyBorder="1"/>
    <xf numFmtId="166" fontId="2" fillId="4" borderId="30" xfId="0" applyNumberFormat="1" applyFont="1" applyFill="1" applyBorder="1"/>
    <xf numFmtId="168" fontId="2" fillId="4" borderId="30" xfId="1" applyNumberFormat="1" applyFont="1" applyFill="1" applyBorder="1"/>
    <xf numFmtId="166" fontId="2" fillId="4" borderId="31" xfId="0" applyNumberFormat="1" applyFont="1" applyFill="1" applyBorder="1"/>
    <xf numFmtId="165" fontId="0" fillId="4" borderId="15" xfId="0" applyNumberFormat="1" applyFill="1" applyBorder="1"/>
    <xf numFmtId="165" fontId="0" fillId="5" borderId="17" xfId="0" applyNumberFormat="1" applyFill="1" applyBorder="1"/>
    <xf numFmtId="165" fontId="0" fillId="4" borderId="17" xfId="0" applyNumberFormat="1" applyFill="1" applyBorder="1"/>
    <xf numFmtId="165" fontId="0" fillId="5" borderId="27" xfId="0" applyNumberFormat="1" applyFill="1" applyBorder="1"/>
    <xf numFmtId="165" fontId="2" fillId="4" borderId="30" xfId="0" applyNumberFormat="1" applyFont="1" applyFill="1" applyBorder="1"/>
    <xf numFmtId="0" fontId="6" fillId="8" borderId="51" xfId="0" applyFont="1" applyFill="1" applyBorder="1" applyAlignment="1">
      <alignment horizontal="center" vertical="center" wrapText="1"/>
    </xf>
    <xf numFmtId="0" fontId="16" fillId="8" borderId="51" xfId="0" applyFont="1" applyFill="1" applyBorder="1" applyAlignment="1">
      <alignment horizontal="center" vertical="center" wrapText="1"/>
    </xf>
    <xf numFmtId="0" fontId="22" fillId="8" borderId="52" xfId="0" applyFont="1" applyFill="1" applyBorder="1" applyAlignment="1">
      <alignment horizontal="center" vertical="center" wrapText="1"/>
    </xf>
    <xf numFmtId="166" fontId="6" fillId="5" borderId="15" xfId="0" applyNumberFormat="1" applyFont="1" applyFill="1" applyBorder="1" applyAlignment="1">
      <alignment vertical="center"/>
    </xf>
    <xf numFmtId="166" fontId="6" fillId="4" borderId="15" xfId="0" applyNumberFormat="1" applyFont="1" applyFill="1" applyBorder="1" applyAlignment="1">
      <alignment vertical="center"/>
    </xf>
    <xf numFmtId="166" fontId="6" fillId="5" borderId="17" xfId="0" applyNumberFormat="1" applyFont="1" applyFill="1" applyBorder="1" applyAlignment="1">
      <alignment vertical="center"/>
    </xf>
    <xf numFmtId="166" fontId="6" fillId="4" borderId="17" xfId="0" applyNumberFormat="1" applyFont="1" applyFill="1" applyBorder="1" applyAlignment="1">
      <alignment vertical="center"/>
    </xf>
    <xf numFmtId="166" fontId="6" fillId="5" borderId="27" xfId="0" applyNumberFormat="1" applyFont="1" applyFill="1" applyBorder="1" applyAlignment="1">
      <alignment vertical="center"/>
    </xf>
    <xf numFmtId="166" fontId="6" fillId="4" borderId="27" xfId="0" applyNumberFormat="1" applyFont="1" applyFill="1" applyBorder="1" applyAlignment="1">
      <alignment vertical="center"/>
    </xf>
    <xf numFmtId="166" fontId="18" fillId="5" borderId="30" xfId="0" applyNumberFormat="1" applyFont="1" applyFill="1" applyBorder="1" applyAlignment="1">
      <alignment vertical="center"/>
    </xf>
    <xf numFmtId="166" fontId="18" fillId="4" borderId="30" xfId="0" applyNumberFormat="1" applyFont="1" applyFill="1" applyBorder="1" applyAlignment="1">
      <alignment vertical="center"/>
    </xf>
    <xf numFmtId="174" fontId="6" fillId="4" borderId="15" xfId="0" applyNumberFormat="1" applyFont="1" applyFill="1" applyBorder="1" applyAlignment="1">
      <alignment vertical="center"/>
    </xf>
    <xf numFmtId="166" fontId="6" fillId="2" borderId="40" xfId="0" applyNumberFormat="1" applyFont="1" applyFill="1" applyBorder="1" applyAlignment="1">
      <alignment vertical="center"/>
    </xf>
    <xf numFmtId="166" fontId="6" fillId="2" borderId="9" xfId="0" applyNumberFormat="1" applyFont="1" applyFill="1" applyBorder="1" applyAlignment="1">
      <alignment vertical="center"/>
    </xf>
    <xf numFmtId="168" fontId="6" fillId="2" borderId="9" xfId="1" applyNumberFormat="1" applyFont="1" applyFill="1" applyBorder="1" applyAlignment="1">
      <alignment vertical="center"/>
    </xf>
    <xf numFmtId="168" fontId="6" fillId="2" borderId="26" xfId="1" applyNumberFormat="1" applyFont="1" applyFill="1" applyBorder="1" applyAlignment="1">
      <alignment vertical="center"/>
    </xf>
    <xf numFmtId="174" fontId="6" fillId="4" borderId="20" xfId="0" applyNumberFormat="1" applyFont="1" applyFill="1" applyBorder="1" applyAlignment="1">
      <alignment vertical="center"/>
    </xf>
    <xf numFmtId="166" fontId="6" fillId="2" borderId="41" xfId="0" applyNumberFormat="1" applyFont="1" applyFill="1" applyBorder="1" applyAlignment="1">
      <alignment vertical="center"/>
    </xf>
    <xf numFmtId="166" fontId="6" fillId="2" borderId="42" xfId="0" applyNumberFormat="1" applyFont="1" applyFill="1" applyBorder="1" applyAlignment="1">
      <alignment vertical="center"/>
    </xf>
    <xf numFmtId="0" fontId="18" fillId="5" borderId="30" xfId="0" applyFont="1" applyFill="1" applyBorder="1" applyAlignment="1">
      <alignment horizontal="left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16" fillId="5" borderId="4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9" fillId="2" borderId="17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169" fontId="6" fillId="5" borderId="15" xfId="0" applyNumberFormat="1" applyFont="1" applyFill="1" applyBorder="1" applyAlignment="1">
      <alignment vertical="center"/>
    </xf>
    <xf numFmtId="169" fontId="6" fillId="4" borderId="15" xfId="0" applyNumberFormat="1" applyFont="1" applyFill="1" applyBorder="1" applyAlignment="1">
      <alignment vertical="center"/>
    </xf>
    <xf numFmtId="170" fontId="6" fillId="3" borderId="15" xfId="0" applyNumberFormat="1" applyFont="1" applyFill="1" applyBorder="1" applyAlignment="1">
      <alignment vertical="center"/>
    </xf>
    <xf numFmtId="170" fontId="6" fillId="3" borderId="17" xfId="0" applyNumberFormat="1" applyFont="1" applyFill="1" applyBorder="1" applyAlignment="1">
      <alignment vertical="center"/>
    </xf>
    <xf numFmtId="170" fontId="6" fillId="3" borderId="20" xfId="0" applyNumberFormat="1" applyFont="1" applyFill="1" applyBorder="1" applyAlignment="1">
      <alignment vertical="center"/>
    </xf>
    <xf numFmtId="170" fontId="6" fillId="3" borderId="16" xfId="0" applyNumberFormat="1" applyFont="1" applyFill="1" applyBorder="1" applyAlignment="1">
      <alignment vertical="center"/>
    </xf>
    <xf numFmtId="170" fontId="6" fillId="3" borderId="18" xfId="0" applyNumberFormat="1" applyFont="1" applyFill="1" applyBorder="1" applyAlignment="1">
      <alignment vertical="center"/>
    </xf>
    <xf numFmtId="170" fontId="6" fillId="3" borderId="21" xfId="0" applyNumberFormat="1" applyFont="1" applyFill="1" applyBorder="1" applyAlignment="1">
      <alignment vertical="center"/>
    </xf>
    <xf numFmtId="0" fontId="0" fillId="2" borderId="6" xfId="0" applyFill="1" applyBorder="1"/>
    <xf numFmtId="0" fontId="9" fillId="2" borderId="6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right" vertical="center" wrapText="1"/>
    </xf>
    <xf numFmtId="170" fontId="6" fillId="4" borderId="20" xfId="0" applyNumberFormat="1" applyFont="1" applyFill="1" applyBorder="1" applyAlignment="1">
      <alignment vertical="center"/>
    </xf>
    <xf numFmtId="170" fontId="6" fillId="4" borderId="21" xfId="0" applyNumberFormat="1" applyFont="1" applyFill="1" applyBorder="1" applyAlignment="1">
      <alignment vertical="center"/>
    </xf>
    <xf numFmtId="170" fontId="6" fillId="4" borderId="6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0" fillId="3" borderId="6" xfId="0" applyFill="1" applyBorder="1" applyAlignment="1">
      <alignment horizont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</cellXfs>
  <cellStyles count="5">
    <cellStyle name="Гиперссылка" xfId="2" builtinId="8"/>
    <cellStyle name="Обычный" xfId="0" builtinId="0"/>
    <cellStyle name="Обычный 2" xfId="3"/>
    <cellStyle name="Процентный" xfId="1" builtinId="5"/>
    <cellStyle name="Процентный 2" xfId="4"/>
  </cellStyles>
  <dxfs count="0"/>
  <tableStyles count="0" defaultTableStyle="TableStyleMedium2" defaultPivotStyle="PivotStyleLight16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/>
            </a:pPr>
            <a:r>
              <a:rPr lang="ru-RU" sz="1400" b="1" i="0" baseline="0">
                <a:effectLst/>
              </a:rPr>
              <a:t>Структура активов на начало периода</a:t>
            </a:r>
            <a:endParaRPr lang="ru-RU" sz="1400">
              <a:effectLst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26880161854768164"/>
          <c:y val="0.22933836395450569"/>
          <c:w val="0.44573031496062993"/>
          <c:h val="0.74288385826771663"/>
        </c:manualLayout>
      </c:layout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Струк2!$B$13:$B$14</c:f>
              <c:strCache>
                <c:ptCount val="2"/>
                <c:pt idx="0">
                  <c:v>Внеоборотные активы</c:v>
                </c:pt>
                <c:pt idx="1">
                  <c:v>Оборотные активы</c:v>
                </c:pt>
              </c:strCache>
            </c:strRef>
          </c:cat>
          <c:val>
            <c:numRef>
              <c:f>Струк2!$C$13:$C$14</c:f>
              <c:numCache>
                <c:formatCode>#,##0_ ;[Red]\-#,##0\ </c:formatCode>
                <c:ptCount val="2"/>
                <c:pt idx="0">
                  <c:v>1518399435</c:v>
                </c:pt>
                <c:pt idx="1">
                  <c:v>700829454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Расходы предприятия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Прибыль1!$C$10</c:f>
              <c:strCache>
                <c:ptCount val="1"/>
                <c:pt idx="0">
                  <c:v>расходы по обычным видам деятельности</c:v>
                </c:pt>
              </c:strCache>
            </c:strRef>
          </c:tx>
          <c:cat>
            <c:strRef>
              <c:f>(Прибыль1!$D$3,Прибыль1!$F$3,Прибыль1!$H$3)</c:f>
              <c:strCache>
                <c:ptCount val="3"/>
                <c:pt idx="0">
                  <c:v>2020г.</c:v>
                </c:pt>
                <c:pt idx="1">
                  <c:v>2019г.</c:v>
                </c:pt>
                <c:pt idx="2">
                  <c:v>0</c:v>
                </c:pt>
              </c:strCache>
            </c:strRef>
          </c:cat>
          <c:val>
            <c:numRef>
              <c:f>(Прибыль1!$D$10,Прибыль1!$F$10,Прибыль1!$H$10)</c:f>
              <c:numCache>
                <c:formatCode>#,##0_ ;[Red]\-#,##0\ </c:formatCode>
                <c:ptCount val="3"/>
                <c:pt idx="0">
                  <c:v>46938985</c:v>
                </c:pt>
                <c:pt idx="1">
                  <c:v>50505447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Прибыль1!$C$11</c:f>
              <c:strCache>
                <c:ptCount val="1"/>
                <c:pt idx="0">
                  <c:v>проценты к уплате</c:v>
                </c:pt>
              </c:strCache>
            </c:strRef>
          </c:tx>
          <c:cat>
            <c:strRef>
              <c:f>(Прибыль1!$D$3,Прибыль1!$F$3,Прибыль1!$H$3)</c:f>
              <c:strCache>
                <c:ptCount val="3"/>
                <c:pt idx="0">
                  <c:v>2020г.</c:v>
                </c:pt>
                <c:pt idx="1">
                  <c:v>2019г.</c:v>
                </c:pt>
                <c:pt idx="2">
                  <c:v>0</c:v>
                </c:pt>
              </c:strCache>
            </c:strRef>
          </c:cat>
          <c:val>
            <c:numRef>
              <c:f>(Прибыль1!$D$11,Прибыль1!$F$11,Прибыль1!$H$11)</c:f>
              <c:numCache>
                <c:formatCode>#,##0_ ;[Red]\-#,##0\ </c:formatCode>
                <c:ptCount val="3"/>
                <c:pt idx="0">
                  <c:v>46523449</c:v>
                </c:pt>
                <c:pt idx="1">
                  <c:v>55407910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Прибыль1!$C$12</c:f>
              <c:strCache>
                <c:ptCount val="1"/>
                <c:pt idx="0">
                  <c:v>прочие расходы</c:v>
                </c:pt>
              </c:strCache>
            </c:strRef>
          </c:tx>
          <c:cat>
            <c:strRef>
              <c:f>(Прибыль1!$D$3,Прибыль1!$F$3,Прибыль1!$H$3)</c:f>
              <c:strCache>
                <c:ptCount val="3"/>
                <c:pt idx="0">
                  <c:v>2020г.</c:v>
                </c:pt>
                <c:pt idx="1">
                  <c:v>2019г.</c:v>
                </c:pt>
                <c:pt idx="2">
                  <c:v>0</c:v>
                </c:pt>
              </c:strCache>
            </c:strRef>
          </c:cat>
          <c:val>
            <c:numRef>
              <c:f>(Прибыль1!$D$12,Прибыль1!$F$12,Прибыль1!$H$12)</c:f>
              <c:numCache>
                <c:formatCode>#,##0_ ;[Red]\-#,##0\ </c:formatCode>
                <c:ptCount val="3"/>
                <c:pt idx="0">
                  <c:v>68795041</c:v>
                </c:pt>
                <c:pt idx="1">
                  <c:v>4132444</c:v>
                </c:pt>
                <c:pt idx="2">
                  <c:v>0</c:v>
                </c:pt>
              </c:numCache>
            </c:numRef>
          </c:val>
        </c:ser>
        <c:overlap val="100"/>
        <c:axId val="114809088"/>
        <c:axId val="113647616"/>
      </c:barChart>
      <c:catAx>
        <c:axId val="114809088"/>
        <c:scaling>
          <c:orientation val="minMax"/>
        </c:scaling>
        <c:axPos val="b"/>
        <c:majorTickMark val="none"/>
        <c:tickLblPos val="nextTo"/>
        <c:crossAx val="113647616"/>
        <c:crosses val="autoZero"/>
        <c:auto val="1"/>
        <c:lblAlgn val="ctr"/>
        <c:lblOffset val="100"/>
      </c:catAx>
      <c:valAx>
        <c:axId val="113647616"/>
        <c:scaling>
          <c:orientation val="minMax"/>
        </c:scaling>
        <c:axPos val="l"/>
        <c:majorGridlines/>
        <c:numFmt formatCode="#,##0_ ;[Red]\-#,##0\ " sourceLinked="1"/>
        <c:majorTickMark val="none"/>
        <c:tickLblPos val="nextTo"/>
        <c:crossAx val="114809088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/>
            </a:pPr>
            <a:r>
              <a:rPr lang="ru-RU" sz="1400" b="1" i="0" baseline="0">
                <a:effectLst/>
              </a:rPr>
              <a:t>Структура активов на конец периода</a:t>
            </a:r>
            <a:endParaRPr lang="ru-RU" sz="1400">
              <a:effectLst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26880161854768164"/>
          <c:y val="0.22933836395450569"/>
          <c:w val="0.44573031496062993"/>
          <c:h val="0.74288385826771663"/>
        </c:manualLayout>
      </c:layout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Струк2!$B$13:$B$14</c:f>
              <c:strCache>
                <c:ptCount val="2"/>
                <c:pt idx="0">
                  <c:v>Внеоборотные активы</c:v>
                </c:pt>
                <c:pt idx="1">
                  <c:v>Оборотные активы</c:v>
                </c:pt>
              </c:strCache>
            </c:strRef>
          </c:cat>
          <c:val>
            <c:numRef>
              <c:f>Струк2!$D$13:$D$14</c:f>
              <c:numCache>
                <c:formatCode>#,##0_ ;[Red]\-#,##0\ </c:formatCode>
                <c:ptCount val="2"/>
                <c:pt idx="0">
                  <c:v>1385958997</c:v>
                </c:pt>
                <c:pt idx="1">
                  <c:v>342368565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Структура внеоборотных активов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Струк2!$B$22</c:f>
              <c:strCache>
                <c:ptCount val="1"/>
                <c:pt idx="0">
                  <c:v>Нематериальные активы</c:v>
                </c:pt>
              </c:strCache>
            </c:strRef>
          </c:tx>
          <c:cat>
            <c:strRef>
              <c:f>Струк2!$C$21:$D$21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Струк2!$C$22:$D$22</c:f>
              <c:numCache>
                <c:formatCode>#,##0_ ;[Red]\-#,##0\ </c:formatCode>
                <c:ptCount val="2"/>
                <c:pt idx="0">
                  <c:v>1731120</c:v>
                </c:pt>
                <c:pt idx="1">
                  <c:v>2375749</c:v>
                </c:pt>
              </c:numCache>
            </c:numRef>
          </c:val>
        </c:ser>
        <c:ser>
          <c:idx val="1"/>
          <c:order val="1"/>
          <c:tx>
            <c:strRef>
              <c:f>Струк2!$B$23</c:f>
              <c:strCache>
                <c:ptCount val="1"/>
                <c:pt idx="0">
                  <c:v>Основные средства</c:v>
                </c:pt>
              </c:strCache>
            </c:strRef>
          </c:tx>
          <c:cat>
            <c:strRef>
              <c:f>Струк2!$C$21:$D$21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Струк2!$C$23:$D$23</c:f>
              <c:numCache>
                <c:formatCode>#,##0_ ;[Red]\-#,##0\ </c:formatCode>
                <c:ptCount val="2"/>
                <c:pt idx="0">
                  <c:v>14591821</c:v>
                </c:pt>
                <c:pt idx="1">
                  <c:v>15440798</c:v>
                </c:pt>
              </c:numCache>
            </c:numRef>
          </c:val>
        </c:ser>
        <c:ser>
          <c:idx val="2"/>
          <c:order val="2"/>
          <c:tx>
            <c:strRef>
              <c:f>Струк2!$B$24</c:f>
              <c:strCache>
                <c:ptCount val="1"/>
                <c:pt idx="0">
                  <c:v>Долгосрочные финансовые вложения </c:v>
                </c:pt>
              </c:strCache>
            </c:strRef>
          </c:tx>
          <c:cat>
            <c:strRef>
              <c:f>Струк2!$C$21:$D$21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Струк2!$C$24:$D$24</c:f>
              <c:numCache>
                <c:formatCode>#,##0_ ;[Red]\-#,##0\ </c:formatCode>
                <c:ptCount val="2"/>
                <c:pt idx="0">
                  <c:v>1490310179</c:v>
                </c:pt>
                <c:pt idx="1">
                  <c:v>1352027698</c:v>
                </c:pt>
              </c:numCache>
            </c:numRef>
          </c:val>
        </c:ser>
        <c:ser>
          <c:idx val="3"/>
          <c:order val="3"/>
          <c:tx>
            <c:strRef>
              <c:f>Струк2!$B$25</c:f>
              <c:strCache>
                <c:ptCount val="1"/>
                <c:pt idx="0">
                  <c:v>Прочие внеоборотные активы</c:v>
                </c:pt>
              </c:strCache>
            </c:strRef>
          </c:tx>
          <c:cat>
            <c:strRef>
              <c:f>Струк2!$C$21:$D$21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Струк2!$C$25:$D$25</c:f>
              <c:numCache>
                <c:formatCode>#,##0_ ;[Red]\-#,##0\ </c:formatCode>
                <c:ptCount val="2"/>
                <c:pt idx="0">
                  <c:v>11766315</c:v>
                </c:pt>
                <c:pt idx="1">
                  <c:v>16114752</c:v>
                </c:pt>
              </c:numCache>
            </c:numRef>
          </c:val>
        </c:ser>
        <c:gapWidth val="75"/>
        <c:overlap val="100"/>
        <c:axId val="101465472"/>
        <c:axId val="101495936"/>
      </c:barChart>
      <c:catAx>
        <c:axId val="101465472"/>
        <c:scaling>
          <c:orientation val="minMax"/>
        </c:scaling>
        <c:axPos val="b"/>
        <c:majorTickMark val="none"/>
        <c:tickLblPos val="nextTo"/>
        <c:crossAx val="101495936"/>
        <c:crosses val="autoZero"/>
        <c:auto val="1"/>
        <c:lblAlgn val="ctr"/>
        <c:lblOffset val="100"/>
      </c:catAx>
      <c:valAx>
        <c:axId val="101495936"/>
        <c:scaling>
          <c:orientation val="minMax"/>
        </c:scaling>
        <c:axPos val="l"/>
        <c:majorGridlines/>
        <c:numFmt formatCode="#,##0_ ;[Red]\-#,##0\ " sourceLinked="1"/>
        <c:majorTickMark val="none"/>
        <c:tickLblPos val="nextTo"/>
        <c:spPr>
          <a:ln w="9525">
            <a:noFill/>
          </a:ln>
        </c:spPr>
        <c:crossAx val="10146547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Структура оборотных активов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Струк2!$B$31</c:f>
              <c:strCache>
                <c:ptCount val="1"/>
                <c:pt idx="0">
                  <c:v>Запасы и затраты, в т.ч. НДС</c:v>
                </c:pt>
              </c:strCache>
            </c:strRef>
          </c:tx>
          <c:cat>
            <c:strRef>
              <c:f>Струк2!$C$30:$D$30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Струк2!$C$31:$D$31</c:f>
              <c:numCache>
                <c:formatCode>#,##0_ ;[Red]\-#,##0\ </c:formatCode>
                <c:ptCount val="2"/>
                <c:pt idx="0">
                  <c:v>426785</c:v>
                </c:pt>
                <c:pt idx="1">
                  <c:v>289865</c:v>
                </c:pt>
              </c:numCache>
            </c:numRef>
          </c:val>
        </c:ser>
        <c:ser>
          <c:idx val="1"/>
          <c:order val="1"/>
          <c:tx>
            <c:strRef>
              <c:f>Струк2!$B$32</c:f>
              <c:strCache>
                <c:ptCount val="1"/>
                <c:pt idx="0">
                  <c:v>Дебиторская задолженность</c:v>
                </c:pt>
              </c:strCache>
            </c:strRef>
          </c:tx>
          <c:cat>
            <c:strRef>
              <c:f>Струк2!$C$30:$D$30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Струк2!$C$32:$D$32</c:f>
              <c:numCache>
                <c:formatCode>#,##0_ ;[Red]\-#,##0\ </c:formatCode>
                <c:ptCount val="2"/>
                <c:pt idx="0">
                  <c:v>398369475</c:v>
                </c:pt>
                <c:pt idx="1">
                  <c:v>218440775</c:v>
                </c:pt>
              </c:numCache>
            </c:numRef>
          </c:val>
        </c:ser>
        <c:ser>
          <c:idx val="2"/>
          <c:order val="2"/>
          <c:tx>
            <c:strRef>
              <c:f>Струк2!$B$33</c:f>
              <c:strCache>
                <c:ptCount val="1"/>
                <c:pt idx="0">
                  <c:v>Краткосрочные финансовые вложения</c:v>
                </c:pt>
              </c:strCache>
            </c:strRef>
          </c:tx>
          <c:cat>
            <c:strRef>
              <c:f>Струк2!$C$30:$D$30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Струк2!$C$33:$D$33</c:f>
              <c:numCache>
                <c:formatCode>#,##0_ ;[Red]\-#,##0\ </c:formatCode>
                <c:ptCount val="2"/>
                <c:pt idx="0">
                  <c:v>51427222</c:v>
                </c:pt>
                <c:pt idx="1">
                  <c:v>107674106</c:v>
                </c:pt>
              </c:numCache>
            </c:numRef>
          </c:val>
        </c:ser>
        <c:ser>
          <c:idx val="3"/>
          <c:order val="3"/>
          <c:tx>
            <c:strRef>
              <c:f>Струк2!$B$34</c:f>
              <c:strCache>
                <c:ptCount val="1"/>
                <c:pt idx="0">
                  <c:v>Денежные средства</c:v>
                </c:pt>
              </c:strCache>
            </c:strRef>
          </c:tx>
          <c:cat>
            <c:strRef>
              <c:f>Струк2!$C$30:$D$30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Струк2!$C$34:$D$34</c:f>
              <c:numCache>
                <c:formatCode>#,##0_ ;[Red]\-#,##0\ </c:formatCode>
                <c:ptCount val="2"/>
                <c:pt idx="0">
                  <c:v>250605972</c:v>
                </c:pt>
                <c:pt idx="1">
                  <c:v>15963819</c:v>
                </c:pt>
              </c:numCache>
            </c:numRef>
          </c:val>
        </c:ser>
        <c:ser>
          <c:idx val="4"/>
          <c:order val="4"/>
          <c:tx>
            <c:strRef>
              <c:f>Струк2!$B$35</c:f>
              <c:strCache>
                <c:ptCount val="1"/>
                <c:pt idx="0">
                  <c:v>Прочие оборотные активы</c:v>
                </c:pt>
              </c:strCache>
            </c:strRef>
          </c:tx>
          <c:cat>
            <c:strRef>
              <c:f>Струк2!$C$30:$D$30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Струк2!$C$35:$D$35</c:f>
              <c:numCache>
                <c:formatCode>#,##0_ ;[Red]\-#,##0\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gapWidth val="75"/>
        <c:overlap val="100"/>
        <c:axId val="102066048"/>
        <c:axId val="102067584"/>
      </c:barChart>
      <c:catAx>
        <c:axId val="102066048"/>
        <c:scaling>
          <c:orientation val="minMax"/>
        </c:scaling>
        <c:axPos val="b"/>
        <c:majorTickMark val="none"/>
        <c:tickLblPos val="nextTo"/>
        <c:crossAx val="102067584"/>
        <c:crosses val="autoZero"/>
        <c:auto val="1"/>
        <c:lblAlgn val="ctr"/>
        <c:lblOffset val="100"/>
      </c:catAx>
      <c:valAx>
        <c:axId val="102067584"/>
        <c:scaling>
          <c:orientation val="minMax"/>
        </c:scaling>
        <c:axPos val="l"/>
        <c:majorGridlines/>
        <c:numFmt formatCode="#,##0_ ;[Red]\-#,##0\ " sourceLinked="1"/>
        <c:majorTickMark val="none"/>
        <c:tickLblPos val="nextTo"/>
        <c:spPr>
          <a:ln w="9525">
            <a:noFill/>
          </a:ln>
        </c:spPr>
        <c:crossAx val="1020660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/>
            </a:pPr>
            <a:r>
              <a:rPr lang="ru-RU" sz="1400" b="1" i="0" baseline="0">
                <a:effectLst/>
              </a:rPr>
              <a:t>Структура пассивов на начало периода</a:t>
            </a:r>
            <a:endParaRPr lang="ru-RU" sz="1400">
              <a:effectLst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8.6857174103237136E-2"/>
          <c:y val="0.15989391951006132"/>
          <c:w val="0.47906364829396331"/>
          <c:h val="0.79380978419364245"/>
        </c:manualLayout>
      </c:layout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Струк2!$B$55:$B$57</c:f>
              <c:strCache>
                <c:ptCount val="3"/>
                <c:pt idx="0">
                  <c:v>Собственный капитал</c:v>
                </c:pt>
                <c:pt idx="1">
                  <c:v>Заемные долгосрочные средства</c:v>
                </c:pt>
                <c:pt idx="2">
                  <c:v>Заемные краткосрочные средства</c:v>
                </c:pt>
              </c:strCache>
            </c:strRef>
          </c:cat>
          <c:val>
            <c:numRef>
              <c:f>Струк2!$C$55:$C$57</c:f>
              <c:numCache>
                <c:formatCode>#,##0_ ;[Red]\-#,##0\ </c:formatCode>
                <c:ptCount val="3"/>
                <c:pt idx="0">
                  <c:v>966219331</c:v>
                </c:pt>
                <c:pt idx="1">
                  <c:v>187262044</c:v>
                </c:pt>
                <c:pt idx="2">
                  <c:v>1065747514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/>
            </a:pPr>
            <a:r>
              <a:rPr lang="ru-RU" sz="1400" b="1" i="0" baseline="0">
                <a:effectLst/>
              </a:rPr>
              <a:t>Структура пассивов на конец периода</a:t>
            </a:r>
            <a:endParaRPr lang="ru-RU" sz="1400">
              <a:effectLst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8.6857174103237136E-2"/>
          <c:y val="0.15989391951006132"/>
          <c:w val="0.47906364829396331"/>
          <c:h val="0.79380978419364245"/>
        </c:manualLayout>
      </c:layout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Струк2!$B$55:$B$57</c:f>
              <c:strCache>
                <c:ptCount val="3"/>
                <c:pt idx="0">
                  <c:v>Собственный капитал</c:v>
                </c:pt>
                <c:pt idx="1">
                  <c:v>Заемные долгосрочные средства</c:v>
                </c:pt>
                <c:pt idx="2">
                  <c:v>Заемные краткосрочные средства</c:v>
                </c:pt>
              </c:strCache>
            </c:strRef>
          </c:cat>
          <c:val>
            <c:numRef>
              <c:f>Струк2!$D$55:$D$57</c:f>
              <c:numCache>
                <c:formatCode>#,##0_ ;[Red]\-#,##0\ </c:formatCode>
                <c:ptCount val="3"/>
                <c:pt idx="0">
                  <c:v>772182620</c:v>
                </c:pt>
                <c:pt idx="1">
                  <c:v>334494881</c:v>
                </c:pt>
                <c:pt idx="2">
                  <c:v>621650061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/>
            </a:pPr>
            <a:r>
              <a:rPr lang="ru-RU" sz="1200"/>
              <a:t>Структура заемных средств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Струк2!$B$66</c:f>
              <c:strCache>
                <c:ptCount val="1"/>
                <c:pt idx="0">
                  <c:v>Долгосрочные заемные средства</c:v>
                </c:pt>
              </c:strCache>
            </c:strRef>
          </c:tx>
          <c:cat>
            <c:strRef>
              <c:f>Струк2!$C$65:$D$65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Струк2!$C$66:$D$66</c:f>
              <c:numCache>
                <c:formatCode>#,##0_ ;[Red]\-#,##0\ </c:formatCode>
                <c:ptCount val="2"/>
                <c:pt idx="0">
                  <c:v>185717100</c:v>
                </c:pt>
                <c:pt idx="1">
                  <c:v>332440650</c:v>
                </c:pt>
              </c:numCache>
            </c:numRef>
          </c:val>
        </c:ser>
        <c:ser>
          <c:idx val="1"/>
          <c:order val="1"/>
          <c:tx>
            <c:strRef>
              <c:f>Струк2!$B$67</c:f>
              <c:strCache>
                <c:ptCount val="1"/>
                <c:pt idx="0">
                  <c:v>Другие долгосрочные обязательства</c:v>
                </c:pt>
              </c:strCache>
            </c:strRef>
          </c:tx>
          <c:cat>
            <c:strRef>
              <c:f>Струк2!$C$65:$D$65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Струк2!$C$67:$D$67</c:f>
              <c:numCache>
                <c:formatCode>#,##0_ ;[Red]\-#,##0\ </c:formatCode>
                <c:ptCount val="2"/>
                <c:pt idx="0">
                  <c:v>1544944</c:v>
                </c:pt>
                <c:pt idx="1">
                  <c:v>2054231</c:v>
                </c:pt>
              </c:numCache>
            </c:numRef>
          </c:val>
        </c:ser>
        <c:ser>
          <c:idx val="2"/>
          <c:order val="2"/>
          <c:tx>
            <c:strRef>
              <c:f>Струк2!$B$68</c:f>
              <c:strCache>
                <c:ptCount val="1"/>
                <c:pt idx="0">
                  <c:v>Краткосрочные заемные средства</c:v>
                </c:pt>
              </c:strCache>
            </c:strRef>
          </c:tx>
          <c:cat>
            <c:strRef>
              <c:f>Струк2!$C$65:$D$65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Струк2!$C$68:$D$68</c:f>
              <c:numCache>
                <c:formatCode>#,##0_ ;[Red]\-#,##0\ </c:formatCode>
                <c:ptCount val="2"/>
                <c:pt idx="0">
                  <c:v>755331842</c:v>
                </c:pt>
                <c:pt idx="1">
                  <c:v>523015889</c:v>
                </c:pt>
              </c:numCache>
            </c:numRef>
          </c:val>
        </c:ser>
        <c:ser>
          <c:idx val="3"/>
          <c:order val="3"/>
          <c:tx>
            <c:strRef>
              <c:f>Струк2!$B$69</c:f>
              <c:strCache>
                <c:ptCount val="1"/>
                <c:pt idx="0">
                  <c:v>Краткосрочная кредиторская задолженность</c:v>
                </c:pt>
              </c:strCache>
            </c:strRef>
          </c:tx>
          <c:cat>
            <c:strRef>
              <c:f>Струк2!$C$65:$D$65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Струк2!$C$69:$D$69</c:f>
              <c:numCache>
                <c:formatCode>#,##0_ ;[Red]\-#,##0\ </c:formatCode>
                <c:ptCount val="2"/>
                <c:pt idx="0">
                  <c:v>306679032</c:v>
                </c:pt>
                <c:pt idx="1">
                  <c:v>94084277</c:v>
                </c:pt>
              </c:numCache>
            </c:numRef>
          </c:val>
        </c:ser>
        <c:ser>
          <c:idx val="4"/>
          <c:order val="4"/>
          <c:tx>
            <c:strRef>
              <c:f>Струк2!$B$70</c:f>
              <c:strCache>
                <c:ptCount val="1"/>
                <c:pt idx="0">
                  <c:v>Другие краткосрочные обязательства</c:v>
                </c:pt>
              </c:strCache>
            </c:strRef>
          </c:tx>
          <c:cat>
            <c:strRef>
              <c:f>Струк2!$C$65:$D$65</c:f>
              <c:strCache>
                <c:ptCount val="2"/>
                <c:pt idx="0">
                  <c:v>на начало года</c:v>
                </c:pt>
                <c:pt idx="1">
                  <c:v>на конец года</c:v>
                </c:pt>
              </c:strCache>
            </c:strRef>
          </c:cat>
          <c:val>
            <c:numRef>
              <c:f>Струк2!$C$70:$D$70</c:f>
              <c:numCache>
                <c:formatCode>#,##0_ ;[Red]\-#,##0\ </c:formatCode>
                <c:ptCount val="2"/>
                <c:pt idx="0">
                  <c:v>3736640</c:v>
                </c:pt>
                <c:pt idx="1">
                  <c:v>4549895</c:v>
                </c:pt>
              </c:numCache>
            </c:numRef>
          </c:val>
        </c:ser>
        <c:gapWidth val="75"/>
        <c:overlap val="100"/>
        <c:axId val="104838272"/>
        <c:axId val="104839808"/>
      </c:barChart>
      <c:catAx>
        <c:axId val="104838272"/>
        <c:scaling>
          <c:orientation val="minMax"/>
        </c:scaling>
        <c:axPos val="b"/>
        <c:majorTickMark val="none"/>
        <c:tickLblPos val="nextTo"/>
        <c:crossAx val="104839808"/>
        <c:crosses val="autoZero"/>
        <c:auto val="1"/>
        <c:lblAlgn val="ctr"/>
        <c:lblOffset val="100"/>
      </c:catAx>
      <c:valAx>
        <c:axId val="104839808"/>
        <c:scaling>
          <c:orientation val="minMax"/>
        </c:scaling>
        <c:axPos val="l"/>
        <c:majorGridlines/>
        <c:numFmt formatCode="#,##0_ ;[Red]\-#,##0\ " sourceLinked="1"/>
        <c:majorTickMark val="none"/>
        <c:tickLblPos val="nextTo"/>
        <c:spPr>
          <a:ln w="9525">
            <a:noFill/>
          </a:ln>
        </c:spPr>
        <c:crossAx val="10483827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Структура баланса предприятия</a:t>
            </a:r>
          </a:p>
        </c:rich>
      </c:tx>
      <c:layout/>
    </c:title>
    <c:plotArea>
      <c:layout/>
      <c:barChart>
        <c:barDir val="col"/>
        <c:grouping val="percentStacked"/>
        <c:ser>
          <c:idx val="0"/>
          <c:order val="0"/>
          <c:tx>
            <c:strRef>
              <c:f>Ликв2!$D$18</c:f>
              <c:strCache>
                <c:ptCount val="1"/>
                <c:pt idx="0">
                  <c:v>Внеоборотные активы / Собственный капитал</c:v>
                </c:pt>
              </c:strCache>
            </c:strRef>
          </c:tx>
          <c:cat>
            <c:strRef>
              <c:f>Ликв2!$E$17:$J$17</c:f>
              <c:strCache>
                <c:ptCount val="6"/>
                <c:pt idx="0">
                  <c:v>Актив, 2020г.</c:v>
                </c:pt>
                <c:pt idx="1">
                  <c:v>Пассив, 2020г.</c:v>
                </c:pt>
                <c:pt idx="2">
                  <c:v>Актив, 2019г.</c:v>
                </c:pt>
                <c:pt idx="3">
                  <c:v>Пассив, 2019г.</c:v>
                </c:pt>
                <c:pt idx="4">
                  <c:v>Актив, 0</c:v>
                </c:pt>
                <c:pt idx="5">
                  <c:v>Пассив, 0</c:v>
                </c:pt>
              </c:strCache>
            </c:strRef>
          </c:cat>
          <c:val>
            <c:numRef>
              <c:f>Ликв2!$E$18:$J$18</c:f>
              <c:numCache>
                <c:formatCode>#,##0_ ;[Red]\-#,##0\ </c:formatCode>
                <c:ptCount val="6"/>
                <c:pt idx="0">
                  <c:v>1385958997</c:v>
                </c:pt>
                <c:pt idx="1">
                  <c:v>772182620</c:v>
                </c:pt>
                <c:pt idx="2">
                  <c:v>1518399435</c:v>
                </c:pt>
                <c:pt idx="3">
                  <c:v>966219331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Ликв2!$D$19</c:f>
              <c:strCache>
                <c:ptCount val="1"/>
                <c:pt idx="0">
                  <c:v>Оборотные активы / Долгосрочные обязательства</c:v>
                </c:pt>
              </c:strCache>
            </c:strRef>
          </c:tx>
          <c:cat>
            <c:strRef>
              <c:f>Ликв2!$E$17:$J$17</c:f>
              <c:strCache>
                <c:ptCount val="6"/>
                <c:pt idx="0">
                  <c:v>Актив, 2020г.</c:v>
                </c:pt>
                <c:pt idx="1">
                  <c:v>Пассив, 2020г.</c:v>
                </c:pt>
                <c:pt idx="2">
                  <c:v>Актив, 2019г.</c:v>
                </c:pt>
                <c:pt idx="3">
                  <c:v>Пассив, 2019г.</c:v>
                </c:pt>
                <c:pt idx="4">
                  <c:v>Актив, 0</c:v>
                </c:pt>
                <c:pt idx="5">
                  <c:v>Пассив, 0</c:v>
                </c:pt>
              </c:strCache>
            </c:strRef>
          </c:cat>
          <c:val>
            <c:numRef>
              <c:f>Ликв2!$E$19:$J$19</c:f>
              <c:numCache>
                <c:formatCode>#,##0_ ;[Red]\-#,##0\ </c:formatCode>
                <c:ptCount val="6"/>
                <c:pt idx="0">
                  <c:v>342368565</c:v>
                </c:pt>
                <c:pt idx="1">
                  <c:v>334494881</c:v>
                </c:pt>
                <c:pt idx="2">
                  <c:v>700829454</c:v>
                </c:pt>
                <c:pt idx="3">
                  <c:v>187262044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Ликв2!$D$20</c:f>
              <c:strCache>
                <c:ptCount val="1"/>
                <c:pt idx="0">
                  <c:v>Краткосрочные обязательства</c:v>
                </c:pt>
              </c:strCache>
            </c:strRef>
          </c:tx>
          <c:cat>
            <c:strRef>
              <c:f>Ликв2!$E$17:$J$17</c:f>
              <c:strCache>
                <c:ptCount val="6"/>
                <c:pt idx="0">
                  <c:v>Актив, 2020г.</c:v>
                </c:pt>
                <c:pt idx="1">
                  <c:v>Пассив, 2020г.</c:v>
                </c:pt>
                <c:pt idx="2">
                  <c:v>Актив, 2019г.</c:v>
                </c:pt>
                <c:pt idx="3">
                  <c:v>Пассив, 2019г.</c:v>
                </c:pt>
                <c:pt idx="4">
                  <c:v>Актив, 0</c:v>
                </c:pt>
                <c:pt idx="5">
                  <c:v>Пассив, 0</c:v>
                </c:pt>
              </c:strCache>
            </c:strRef>
          </c:cat>
          <c:val>
            <c:numRef>
              <c:f>Ликв2!$E$20:$J$20</c:f>
              <c:numCache>
                <c:formatCode>#,##0_ ;[Red]\-#,##0\ </c:formatCode>
                <c:ptCount val="6"/>
                <c:pt idx="1">
                  <c:v>621650061</c:v>
                </c:pt>
                <c:pt idx="3">
                  <c:v>1065747514</c:v>
                </c:pt>
                <c:pt idx="5">
                  <c:v>0</c:v>
                </c:pt>
              </c:numCache>
            </c:numRef>
          </c:val>
        </c:ser>
        <c:gapWidth val="75"/>
        <c:overlap val="100"/>
        <c:axId val="105297408"/>
        <c:axId val="105298944"/>
      </c:barChart>
      <c:catAx>
        <c:axId val="105297408"/>
        <c:scaling>
          <c:orientation val="minMax"/>
        </c:scaling>
        <c:axPos val="b"/>
        <c:majorTickMark val="none"/>
        <c:tickLblPos val="nextTo"/>
        <c:crossAx val="105298944"/>
        <c:crosses val="autoZero"/>
        <c:auto val="1"/>
        <c:lblAlgn val="ctr"/>
        <c:lblOffset val="100"/>
      </c:catAx>
      <c:valAx>
        <c:axId val="105298944"/>
        <c:scaling>
          <c:orientation val="minMax"/>
        </c:scaling>
        <c:axPos val="l"/>
        <c:majorGridlines/>
        <c:numFmt formatCode="0%" sourceLinked="1"/>
        <c:majorTickMark val="none"/>
        <c:tickLblPos val="nextTo"/>
        <c:spPr>
          <a:ln w="9525">
            <a:noFill/>
          </a:ln>
        </c:spPr>
        <c:crossAx val="10529740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/>
            </a:pPr>
            <a:r>
              <a:rPr lang="ru-RU" sz="1400"/>
              <a:t>Доходы предприятия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Прибыль1!$C$6</c:f>
              <c:strCache>
                <c:ptCount val="1"/>
                <c:pt idx="0">
                  <c:v>доходы от обычных видов деятельности</c:v>
                </c:pt>
              </c:strCache>
            </c:strRef>
          </c:tx>
          <c:cat>
            <c:strRef>
              <c:f>(Прибыль1!$D$3,Прибыль1!$F$3,Прибыль1!$H$3)</c:f>
              <c:strCache>
                <c:ptCount val="3"/>
                <c:pt idx="0">
                  <c:v>2020г.</c:v>
                </c:pt>
                <c:pt idx="1">
                  <c:v>2019г.</c:v>
                </c:pt>
                <c:pt idx="2">
                  <c:v>0</c:v>
                </c:pt>
              </c:strCache>
            </c:strRef>
          </c:cat>
          <c:val>
            <c:numRef>
              <c:f>(Прибыль1!$D$6,Прибыль1!$F$6,Прибыль1!$H$6)</c:f>
              <c:numCache>
                <c:formatCode>#,##0_ ;[Red]\-#,##0\ </c:formatCode>
                <c:ptCount val="3"/>
                <c:pt idx="0">
                  <c:v>322811966</c:v>
                </c:pt>
                <c:pt idx="1">
                  <c:v>444471354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Прибыль1!$C$7</c:f>
              <c:strCache>
                <c:ptCount val="1"/>
                <c:pt idx="0">
                  <c:v>проценты к получению</c:v>
                </c:pt>
              </c:strCache>
            </c:strRef>
          </c:tx>
          <c:cat>
            <c:strRef>
              <c:f>(Прибыль1!$D$3,Прибыль1!$F$3,Прибыль1!$H$3)</c:f>
              <c:strCache>
                <c:ptCount val="3"/>
                <c:pt idx="0">
                  <c:v>2020г.</c:v>
                </c:pt>
                <c:pt idx="1">
                  <c:v>2019г.</c:v>
                </c:pt>
                <c:pt idx="2">
                  <c:v>0</c:v>
                </c:pt>
              </c:strCache>
            </c:strRef>
          </c:cat>
          <c:val>
            <c:numRef>
              <c:f>(Прибыль1!$D$7,Прибыль1!$F$7,Прибыль1!$H$7)</c:f>
              <c:numCache>
                <c:formatCode>#,##0_ ;[Red]\-#,##0\ </c:formatCode>
                <c:ptCount val="3"/>
                <c:pt idx="0">
                  <c:v>28330694</c:v>
                </c:pt>
                <c:pt idx="1">
                  <c:v>44000052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Прибыль1!$C$8</c:f>
              <c:strCache>
                <c:ptCount val="1"/>
                <c:pt idx="0">
                  <c:v>прочие доходы</c:v>
                </c:pt>
              </c:strCache>
            </c:strRef>
          </c:tx>
          <c:cat>
            <c:strRef>
              <c:f>(Прибыль1!$D$3,Прибыль1!$F$3,Прибыль1!$H$3)</c:f>
              <c:strCache>
                <c:ptCount val="3"/>
                <c:pt idx="0">
                  <c:v>2020г.</c:v>
                </c:pt>
                <c:pt idx="1">
                  <c:v>2019г.</c:v>
                </c:pt>
                <c:pt idx="2">
                  <c:v>0</c:v>
                </c:pt>
              </c:strCache>
            </c:strRef>
          </c:cat>
          <c:val>
            <c:numRef>
              <c:f>(Прибыль1!$D$8,Прибыль1!$F$8,Прибыль1!$H$8)</c:f>
              <c:numCache>
                <c:formatCode>#,##0_ ;[Red]\-#,##0\ </c:formatCode>
                <c:ptCount val="3"/>
                <c:pt idx="0">
                  <c:v>5613604</c:v>
                </c:pt>
                <c:pt idx="1">
                  <c:v>26487323</c:v>
                </c:pt>
                <c:pt idx="2">
                  <c:v>0</c:v>
                </c:pt>
              </c:numCache>
            </c:numRef>
          </c:val>
        </c:ser>
        <c:overlap val="100"/>
        <c:axId val="114764032"/>
        <c:axId val="114774016"/>
      </c:barChart>
      <c:catAx>
        <c:axId val="114764032"/>
        <c:scaling>
          <c:orientation val="minMax"/>
        </c:scaling>
        <c:axPos val="b"/>
        <c:numFmt formatCode="General" sourceLinked="1"/>
        <c:majorTickMark val="none"/>
        <c:tickLblPos val="nextTo"/>
        <c:crossAx val="114774016"/>
        <c:crosses val="autoZero"/>
        <c:auto val="1"/>
        <c:lblAlgn val="ctr"/>
        <c:lblOffset val="100"/>
      </c:catAx>
      <c:valAx>
        <c:axId val="114774016"/>
        <c:scaling>
          <c:orientation val="minMax"/>
        </c:scaling>
        <c:axPos val="l"/>
        <c:majorGridlines/>
        <c:numFmt formatCode="#,##0_ ;[Red]\-#,##0\ " sourceLinked="1"/>
        <c:majorTickMark val="none"/>
        <c:tickLblPos val="nextTo"/>
        <c:crossAx val="114764032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100012</xdr:rowOff>
    </xdr:from>
    <xdr:to>
      <xdr:col>7</xdr:col>
      <xdr:colOff>447675</xdr:colOff>
      <xdr:row>14</xdr:row>
      <xdr:rowOff>176212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514350</xdr:colOff>
      <xdr:row>0</xdr:row>
      <xdr:rowOff>95250</xdr:rowOff>
    </xdr:from>
    <xdr:to>
      <xdr:col>15</xdr:col>
      <xdr:colOff>209550</xdr:colOff>
      <xdr:row>14</xdr:row>
      <xdr:rowOff>171450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15</xdr:row>
      <xdr:rowOff>128586</xdr:rowOff>
    </xdr:from>
    <xdr:to>
      <xdr:col>7</xdr:col>
      <xdr:colOff>438150</xdr:colOff>
      <xdr:row>44</xdr:row>
      <xdr:rowOff>76200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514350</xdr:colOff>
      <xdr:row>15</xdr:row>
      <xdr:rowOff>123825</xdr:rowOff>
    </xdr:from>
    <xdr:to>
      <xdr:col>15</xdr:col>
      <xdr:colOff>209550</xdr:colOff>
      <xdr:row>44</xdr:row>
      <xdr:rowOff>71439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123825</xdr:colOff>
      <xdr:row>45</xdr:row>
      <xdr:rowOff>66675</xdr:rowOff>
    </xdr:from>
    <xdr:to>
      <xdr:col>7</xdr:col>
      <xdr:colOff>428625</xdr:colOff>
      <xdr:row>59</xdr:row>
      <xdr:rowOff>142875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514350</xdr:colOff>
      <xdr:row>45</xdr:row>
      <xdr:rowOff>66675</xdr:rowOff>
    </xdr:from>
    <xdr:to>
      <xdr:col>15</xdr:col>
      <xdr:colOff>209550</xdr:colOff>
      <xdr:row>59</xdr:row>
      <xdr:rowOff>142875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123825</xdr:colOff>
      <xdr:row>60</xdr:row>
      <xdr:rowOff>142875</xdr:rowOff>
    </xdr:from>
    <xdr:to>
      <xdr:col>7</xdr:col>
      <xdr:colOff>428625</xdr:colOff>
      <xdr:row>89</xdr:row>
      <xdr:rowOff>90489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15</xdr:row>
      <xdr:rowOff>147637</xdr:rowOff>
    </xdr:from>
    <xdr:to>
      <xdr:col>11</xdr:col>
      <xdr:colOff>0</xdr:colOff>
      <xdr:row>32</xdr:row>
      <xdr:rowOff>76200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14287</xdr:rowOff>
    </xdr:from>
    <xdr:to>
      <xdr:col>4</xdr:col>
      <xdr:colOff>0</xdr:colOff>
      <xdr:row>29</xdr:row>
      <xdr:rowOff>90487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15</xdr:row>
      <xdr:rowOff>0</xdr:rowOff>
    </xdr:from>
    <xdr:to>
      <xdr:col>10</xdr:col>
      <xdr:colOff>323850</xdr:colOff>
      <xdr:row>29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afdanalyse.ru/publ/finansovyj_analiz/1/ehffekt_finansovogo_rychaga/7-1-0-222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7"/>
  <sheetViews>
    <sheetView zoomScaleNormal="100" workbookViewId="0">
      <selection activeCell="A10" sqref="A10:XFD37"/>
    </sheetView>
  </sheetViews>
  <sheetFormatPr defaultRowHeight="15"/>
  <cols>
    <col min="1" max="1" width="1.7109375" style="1" customWidth="1"/>
    <col min="2" max="28" width="5.7109375" style="1" customWidth="1"/>
    <col min="29" max="16384" width="9.140625" style="1"/>
  </cols>
  <sheetData>
    <row r="1" spans="2:19" ht="15.75" thickBot="1"/>
    <row r="2" spans="2:19" s="2" customFormat="1" ht="21.75" thickBot="1">
      <c r="B2" s="270" t="s">
        <v>0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2"/>
    </row>
    <row r="3" spans="2:19">
      <c r="C3" s="273"/>
      <c r="D3" s="273"/>
      <c r="E3" s="273"/>
      <c r="F3" s="3"/>
    </row>
    <row r="4" spans="2:19">
      <c r="N4" s="268"/>
      <c r="O4" s="269"/>
      <c r="Q4" s="268" t="s">
        <v>144</v>
      </c>
      <c r="R4" s="269"/>
      <c r="S4" s="1" t="s">
        <v>367</v>
      </c>
    </row>
    <row r="5" spans="2:19">
      <c r="C5" s="5"/>
      <c r="D5" s="1" t="s">
        <v>1</v>
      </c>
      <c r="N5" s="268"/>
      <c r="O5" s="269"/>
    </row>
    <row r="6" spans="2:19">
      <c r="C6" s="6"/>
      <c r="D6" s="1" t="s">
        <v>2</v>
      </c>
      <c r="N6" s="268" t="s">
        <v>446</v>
      </c>
      <c r="O6" s="269"/>
    </row>
    <row r="7" spans="2:19">
      <c r="C7" s="7"/>
      <c r="D7" s="1" t="s">
        <v>3</v>
      </c>
      <c r="N7" s="274" t="s">
        <v>447</v>
      </c>
      <c r="O7" s="274"/>
    </row>
  </sheetData>
  <mergeCells count="7">
    <mergeCell ref="N6:O6"/>
    <mergeCell ref="B2:Q2"/>
    <mergeCell ref="C3:E3"/>
    <mergeCell ref="N4:O4"/>
    <mergeCell ref="N5:O5"/>
    <mergeCell ref="Q4:R4"/>
    <mergeCell ref="N7:O7"/>
  </mergeCells>
  <pageMargins left="0.7" right="0.7" top="0.75" bottom="0.75" header="0.3" footer="0.3"/>
  <pageSetup paperSize="9" scale="93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14"/>
  <sheetViews>
    <sheetView zoomScaleNormal="100" zoomScaleSheetLayoutView="100" workbookViewId="0">
      <selection activeCell="A12" sqref="A12:XFD13"/>
    </sheetView>
  </sheetViews>
  <sheetFormatPr defaultRowHeight="15"/>
  <cols>
    <col min="1" max="1" width="1.7109375" style="1" customWidth="1"/>
    <col min="2" max="2" width="4.7109375" style="1" customWidth="1"/>
    <col min="3" max="3" width="50.42578125" style="1" customWidth="1"/>
    <col min="4" max="4" width="9.28515625" style="1" customWidth="1"/>
    <col min="5" max="9" width="12.7109375" style="1" customWidth="1"/>
    <col min="10" max="11" width="10.7109375" style="1" customWidth="1"/>
    <col min="12" max="12" width="1.7109375" style="1" customWidth="1"/>
    <col min="13" max="16384" width="9.140625" style="1"/>
  </cols>
  <sheetData>
    <row r="1" spans="1:13" s="8" customFormat="1" ht="18.75">
      <c r="A1" s="8" t="s">
        <v>348</v>
      </c>
    </row>
    <row r="3" spans="1:13" ht="30" customHeight="1">
      <c r="B3" s="275" t="s">
        <v>139</v>
      </c>
      <c r="C3" s="282" t="s">
        <v>80</v>
      </c>
      <c r="D3" s="275" t="s">
        <v>140</v>
      </c>
      <c r="E3" s="282" t="s">
        <v>141</v>
      </c>
      <c r="F3" s="282"/>
      <c r="G3" s="282"/>
      <c r="H3" s="280" t="str">
        <f>"Изменение, "&amp;Меню!$Q$4</f>
        <v>Изменение, тыс. руб.</v>
      </c>
      <c r="I3" s="281"/>
      <c r="J3" s="280" t="s">
        <v>143</v>
      </c>
      <c r="K3" s="281"/>
    </row>
    <row r="4" spans="1:13" ht="24">
      <c r="B4" s="276"/>
      <c r="C4" s="282"/>
      <c r="D4" s="276"/>
      <c r="E4" s="61" t="str">
        <f>Меню!$N$7</f>
        <v>2020г.</v>
      </c>
      <c r="F4" s="61" t="str">
        <f>Меню!$N$6</f>
        <v>2019г.</v>
      </c>
      <c r="G4" s="61">
        <f>Меню!$N$5</f>
        <v>0</v>
      </c>
      <c r="H4" s="61" t="str">
        <f>Меню!$N$7&amp;" - "&amp;Меню!$N$6</f>
        <v>2020г. - 2019г.</v>
      </c>
      <c r="I4" s="61" t="str">
        <f>Меню!$N$7&amp;" - "&amp;Меню!$N$5</f>
        <v xml:space="preserve">2020г. - </v>
      </c>
      <c r="J4" s="61" t="str">
        <f>Меню!$N$7&amp;" / "&amp;Меню!$N$6</f>
        <v>2020г. / 2019г.</v>
      </c>
      <c r="K4" s="61" t="str">
        <f>Меню!$N$7&amp;" / "&amp;Меню!$N$5</f>
        <v xml:space="preserve">2020г. / </v>
      </c>
      <c r="M4" s="57"/>
    </row>
    <row r="5" spans="1:13" ht="15.75">
      <c r="B5" s="148" t="s">
        <v>163</v>
      </c>
      <c r="C5" s="149"/>
      <c r="D5" s="149"/>
      <c r="E5" s="149"/>
      <c r="F5" s="149"/>
      <c r="G5" s="149"/>
      <c r="H5" s="149"/>
      <c r="I5" s="149"/>
      <c r="J5" s="149"/>
      <c r="K5" s="150"/>
    </row>
    <row r="6" spans="1:13">
      <c r="B6" s="134" t="s">
        <v>4</v>
      </c>
      <c r="C6" s="135" t="s">
        <v>298</v>
      </c>
      <c r="D6" s="136" t="str">
        <f>Меню!$Q$4</f>
        <v>тыс. руб.</v>
      </c>
      <c r="E6" s="137">
        <f>Баланс!D53</f>
        <v>322811966</v>
      </c>
      <c r="F6" s="137">
        <f>Баланс!E53</f>
        <v>444471354</v>
      </c>
      <c r="G6" s="137">
        <f>Баланс!F53</f>
        <v>0</v>
      </c>
      <c r="H6" s="138">
        <f t="shared" ref="H6:H10" si="0">E6-F6</f>
        <v>-121659388</v>
      </c>
      <c r="I6" s="138">
        <f t="shared" ref="I6:I10" si="1">E6-G6</f>
        <v>322811966</v>
      </c>
      <c r="J6" s="139">
        <f t="shared" ref="J6:J10" si="2">IFERROR(E6/F6,"")</f>
        <v>0.72628294960939144</v>
      </c>
      <c r="K6" s="140" t="str">
        <f t="shared" ref="K6:K10" si="3">IFERROR(E6/G6,"")</f>
        <v/>
      </c>
    </row>
    <row r="7" spans="1:13">
      <c r="B7" s="134" t="s">
        <v>5</v>
      </c>
      <c r="C7" s="135" t="s">
        <v>66</v>
      </c>
      <c r="D7" s="136" t="str">
        <f>Меню!$Q$4</f>
        <v>тыс. руб.</v>
      </c>
      <c r="E7" s="137">
        <f>Баланс!D58</f>
        <v>275872981</v>
      </c>
      <c r="F7" s="137">
        <f>Баланс!E58</f>
        <v>393965907</v>
      </c>
      <c r="G7" s="137">
        <f>Баланс!F58</f>
        <v>0</v>
      </c>
      <c r="H7" s="138">
        <f t="shared" si="0"/>
        <v>-118092926</v>
      </c>
      <c r="I7" s="138">
        <f t="shared" si="1"/>
        <v>275872981</v>
      </c>
      <c r="J7" s="139">
        <f t="shared" si="2"/>
        <v>0.70024582355548848</v>
      </c>
      <c r="K7" s="140" t="str">
        <f t="shared" si="3"/>
        <v/>
      </c>
    </row>
    <row r="8" spans="1:13">
      <c r="B8" s="134" t="s">
        <v>6</v>
      </c>
      <c r="C8" s="135" t="s">
        <v>72</v>
      </c>
      <c r="D8" s="136" t="str">
        <f>Меню!$Q$4</f>
        <v>тыс. руб.</v>
      </c>
      <c r="E8" s="137">
        <f>Баланс!D64</f>
        <v>194498789</v>
      </c>
      <c r="F8" s="137">
        <f>Баланс!E64</f>
        <v>404912928</v>
      </c>
      <c r="G8" s="137">
        <f>Баланс!F64</f>
        <v>0</v>
      </c>
      <c r="H8" s="138">
        <f t="shared" si="0"/>
        <v>-210414139</v>
      </c>
      <c r="I8" s="138">
        <f t="shared" si="1"/>
        <v>194498789</v>
      </c>
      <c r="J8" s="139">
        <f t="shared" si="2"/>
        <v>0.48034719454549002</v>
      </c>
      <c r="K8" s="140" t="str">
        <f t="shared" si="3"/>
        <v/>
      </c>
    </row>
    <row r="9" spans="1:13">
      <c r="B9" s="134" t="s">
        <v>7</v>
      </c>
      <c r="C9" s="135" t="s">
        <v>78</v>
      </c>
      <c r="D9" s="136" t="str">
        <f>Меню!$Q$4</f>
        <v>тыс. руб.</v>
      </c>
      <c r="E9" s="137">
        <f>Баланс!D70</f>
        <v>197559111</v>
      </c>
      <c r="F9" s="137">
        <f>Баланс!E70</f>
        <v>403070730</v>
      </c>
      <c r="G9" s="137">
        <f>Баланс!F70</f>
        <v>0</v>
      </c>
      <c r="H9" s="138">
        <f t="shared" si="0"/>
        <v>-205511619</v>
      </c>
      <c r="I9" s="138">
        <f t="shared" si="1"/>
        <v>197559111</v>
      </c>
      <c r="J9" s="139">
        <f t="shared" si="2"/>
        <v>0.49013509614057066</v>
      </c>
      <c r="K9" s="140" t="str">
        <f t="shared" si="3"/>
        <v/>
      </c>
    </row>
    <row r="10" spans="1:13">
      <c r="B10" s="134" t="s">
        <v>214</v>
      </c>
      <c r="C10" s="135" t="s">
        <v>338</v>
      </c>
      <c r="D10" s="136" t="str">
        <f>Меню!$Q$4</f>
        <v>тыс. руб.</v>
      </c>
      <c r="E10" s="137">
        <f>-(Баланс!D54+Баланс!D56+Баланс!D57)</f>
        <v>46938985</v>
      </c>
      <c r="F10" s="137">
        <f>-(Баланс!E54+Баланс!E56+Баланс!E57)</f>
        <v>50505447</v>
      </c>
      <c r="G10" s="137">
        <f>-(Баланс!F54+Баланс!F56+Баланс!F57)</f>
        <v>0</v>
      </c>
      <c r="H10" s="138">
        <f t="shared" si="0"/>
        <v>-3566462</v>
      </c>
      <c r="I10" s="138">
        <f t="shared" si="1"/>
        <v>46938985</v>
      </c>
      <c r="J10" s="139">
        <f t="shared" si="2"/>
        <v>0.92938460677320611</v>
      </c>
      <c r="K10" s="140" t="str">
        <f t="shared" si="3"/>
        <v/>
      </c>
    </row>
    <row r="11" spans="1:13" ht="15.75">
      <c r="B11" s="148" t="s">
        <v>339</v>
      </c>
      <c r="C11" s="149"/>
      <c r="D11" s="149"/>
      <c r="E11" s="149"/>
      <c r="F11" s="149"/>
      <c r="G11" s="149"/>
      <c r="H11" s="149"/>
      <c r="I11" s="149"/>
      <c r="J11" s="149"/>
      <c r="K11" s="150"/>
    </row>
    <row r="12" spans="1:13" ht="30">
      <c r="B12" s="134" t="s">
        <v>10</v>
      </c>
      <c r="C12" s="135" t="s">
        <v>340</v>
      </c>
      <c r="D12" s="136"/>
      <c r="E12" s="139">
        <f>IFERROR(E9/E6,"")</f>
        <v>0.61199438623040381</v>
      </c>
      <c r="F12" s="139">
        <f t="shared" ref="F12:G12" si="4">IFERROR(F9/F6,"")</f>
        <v>0.90685423565002121</v>
      </c>
      <c r="G12" s="139" t="str">
        <f t="shared" si="4"/>
        <v/>
      </c>
      <c r="H12" s="157">
        <f t="shared" ref="H12:H14" si="5">E12-F12</f>
        <v>-0.2948598494196174</v>
      </c>
      <c r="I12" s="157" t="e">
        <f t="shared" ref="I12:I14" si="6">E12-G12</f>
        <v>#VALUE!</v>
      </c>
      <c r="J12" s="139">
        <f t="shared" ref="J12:J14" si="7">IFERROR(E12/F12,"")</f>
        <v>0.67485419615615982</v>
      </c>
      <c r="K12" s="140" t="str">
        <f t="shared" ref="K12:K14" si="8">IFERROR(E12/G12,"")</f>
        <v/>
      </c>
    </row>
    <row r="13" spans="1:13" ht="30">
      <c r="B13" s="134" t="s">
        <v>11</v>
      </c>
      <c r="C13" s="135" t="s">
        <v>341</v>
      </c>
      <c r="D13" s="136"/>
      <c r="E13" s="139">
        <f>IFERROR(E7/E6,"")</f>
        <v>0.85459341677563461</v>
      </c>
      <c r="F13" s="139">
        <f t="shared" ref="F13:G13" si="9">IFERROR(F7/F6,"")</f>
        <v>0.88636962417155007</v>
      </c>
      <c r="G13" s="139" t="str">
        <f t="shared" si="9"/>
        <v/>
      </c>
      <c r="H13" s="157">
        <f t="shared" si="5"/>
        <v>-3.1776207395915468E-2</v>
      </c>
      <c r="I13" s="157" t="e">
        <f t="shared" si="6"/>
        <v>#VALUE!</v>
      </c>
      <c r="J13" s="139">
        <f t="shared" si="7"/>
        <v>0.96415016204372384</v>
      </c>
      <c r="K13" s="140" t="str">
        <f t="shared" si="8"/>
        <v/>
      </c>
    </row>
    <row r="14" spans="1:13">
      <c r="B14" s="142" t="s">
        <v>12</v>
      </c>
      <c r="C14" s="143" t="s">
        <v>342</v>
      </c>
      <c r="D14" s="144"/>
      <c r="E14" s="145">
        <f>IFERROR(E9/E10,"")</f>
        <v>4.2088492326794027</v>
      </c>
      <c r="F14" s="145">
        <f>IFERROR(F9/F10,"")</f>
        <v>7.9807378004198242</v>
      </c>
      <c r="G14" s="145" t="str">
        <f>IFERROR(G9/G10,"")</f>
        <v/>
      </c>
      <c r="H14" s="158">
        <f t="shared" si="5"/>
        <v>-3.7718885677404215</v>
      </c>
      <c r="I14" s="158" t="e">
        <f t="shared" si="6"/>
        <v>#VALUE!</v>
      </c>
      <c r="J14" s="145">
        <f t="shared" si="7"/>
        <v>0.52737595670139636</v>
      </c>
      <c r="K14" s="146" t="str">
        <f t="shared" si="8"/>
        <v/>
      </c>
    </row>
  </sheetData>
  <mergeCells count="6">
    <mergeCell ref="J3:K3"/>
    <mergeCell ref="B3:B4"/>
    <mergeCell ref="C3:C4"/>
    <mergeCell ref="D3:D4"/>
    <mergeCell ref="E3:G3"/>
    <mergeCell ref="H3:I3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94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J3" sqref="J3:K3"/>
    </sheetView>
  </sheetViews>
  <sheetFormatPr defaultRowHeight="15"/>
  <cols>
    <col min="1" max="1" width="1.7109375" style="1" customWidth="1"/>
    <col min="2" max="2" width="4.7109375" style="1" customWidth="1"/>
    <col min="3" max="3" width="50.42578125" style="1" customWidth="1"/>
    <col min="4" max="4" width="12.7109375" style="1" customWidth="1"/>
    <col min="5" max="5" width="9.7109375" style="1" customWidth="1"/>
    <col min="6" max="6" width="12.7109375" style="1" customWidth="1"/>
    <col min="7" max="7" width="9.7109375" style="1" customWidth="1"/>
    <col min="8" max="8" width="12.7109375" style="1" customWidth="1"/>
    <col min="9" max="9" width="9.7109375" style="1" customWidth="1"/>
    <col min="10" max="10" width="12.7109375" style="1" customWidth="1"/>
    <col min="11" max="11" width="9.7109375" style="1" customWidth="1"/>
    <col min="12" max="12" width="12.7109375" style="1" customWidth="1"/>
    <col min="13" max="13" width="9.7109375" style="1" customWidth="1"/>
    <col min="14" max="16384" width="9.140625" style="1"/>
  </cols>
  <sheetData>
    <row r="1" spans="1:13" s="8" customFormat="1" ht="18.75">
      <c r="A1" s="8" t="s">
        <v>349</v>
      </c>
    </row>
    <row r="3" spans="1:13" s="58" customFormat="1" ht="30" customHeight="1">
      <c r="B3" s="275" t="s">
        <v>139</v>
      </c>
      <c r="C3" s="286" t="s">
        <v>80</v>
      </c>
      <c r="D3" s="289" t="str">
        <f>Меню!$N$7</f>
        <v>2020г.</v>
      </c>
      <c r="E3" s="289"/>
      <c r="F3" s="289" t="str">
        <f>Меню!$N$6</f>
        <v>2019г.</v>
      </c>
      <c r="G3" s="289"/>
      <c r="H3" s="289">
        <f>Меню!$N$5</f>
        <v>0</v>
      </c>
      <c r="I3" s="289"/>
      <c r="J3" s="289" t="str">
        <f>"Изменение
"&amp;Меню!$N$7&amp;" - "&amp;Меню!$N$6</f>
        <v>Изменение
2020г. - 2019г.</v>
      </c>
      <c r="K3" s="289"/>
      <c r="L3" s="287" t="str">
        <f>"Изменение
"&amp;Меню!$N$7&amp;" - "&amp;Меню!$N$5</f>
        <v xml:space="preserve">Изменение
2020г. - </v>
      </c>
      <c r="M3" s="288"/>
    </row>
    <row r="4" spans="1:13" s="58" customFormat="1">
      <c r="B4" s="276"/>
      <c r="C4" s="286"/>
      <c r="D4" s="61" t="str">
        <f>Меню!$Q$4</f>
        <v>тыс. руб.</v>
      </c>
      <c r="E4" s="61" t="s">
        <v>351</v>
      </c>
      <c r="F4" s="61" t="str">
        <f>Меню!$Q$4</f>
        <v>тыс. руб.</v>
      </c>
      <c r="G4" s="61" t="s">
        <v>351</v>
      </c>
      <c r="H4" s="61" t="str">
        <f>Меню!$Q$4</f>
        <v>тыс. руб.</v>
      </c>
      <c r="I4" s="61" t="s">
        <v>351</v>
      </c>
      <c r="J4" s="61" t="str">
        <f>Меню!$Q$4</f>
        <v>тыс. руб.</v>
      </c>
      <c r="K4" s="61" t="s">
        <v>351</v>
      </c>
      <c r="L4" s="61" t="str">
        <f>Меню!$Q$4</f>
        <v>тыс. руб.</v>
      </c>
      <c r="M4" s="61" t="s">
        <v>351</v>
      </c>
    </row>
    <row r="5" spans="1:13">
      <c r="B5" s="127" t="s">
        <v>345</v>
      </c>
      <c r="C5" s="201" t="s">
        <v>358</v>
      </c>
      <c r="D5" s="215">
        <f>SUM(D6:D8)</f>
        <v>356756264</v>
      </c>
      <c r="E5" s="206">
        <f>IFERROR(D5/D$5,"")</f>
        <v>1</v>
      </c>
      <c r="F5" s="215">
        <f>SUM(F6:F8)</f>
        <v>514958729</v>
      </c>
      <c r="G5" s="206">
        <f>IFERROR(F5/F$5,"")</f>
        <v>1</v>
      </c>
      <c r="H5" s="215">
        <f>SUM(H6:H8)</f>
        <v>0</v>
      </c>
      <c r="I5" s="206" t="str">
        <f>IFERROR(H5/H$5,"")</f>
        <v/>
      </c>
      <c r="J5" s="215">
        <f>SUM(J6:J8)</f>
        <v>-158202465</v>
      </c>
      <c r="K5" s="206">
        <f>IFERROR(J5/J$5,"")</f>
        <v>1</v>
      </c>
      <c r="L5" s="215">
        <f>SUM(L6:L8)</f>
        <v>356756264</v>
      </c>
      <c r="M5" s="209">
        <f>IFERROR(L5/L$5,"")</f>
        <v>1</v>
      </c>
    </row>
    <row r="6" spans="1:13">
      <c r="B6" s="134" t="s">
        <v>4</v>
      </c>
      <c r="C6" s="204" t="s">
        <v>352</v>
      </c>
      <c r="D6" s="216">
        <f>Баланс!D53</f>
        <v>322811966</v>
      </c>
      <c r="E6" s="207">
        <f t="shared" ref="E6:G8" si="0">IFERROR(D6/D$5,"")</f>
        <v>0.90485297267268161</v>
      </c>
      <c r="F6" s="216">
        <f>Баланс!E53</f>
        <v>444471354</v>
      </c>
      <c r="G6" s="207">
        <f t="shared" si="0"/>
        <v>0.86312034143613869</v>
      </c>
      <c r="H6" s="216">
        <f>Баланс!F53</f>
        <v>0</v>
      </c>
      <c r="I6" s="207" t="str">
        <f t="shared" ref="I6" si="1">IFERROR(H6/H$5,"")</f>
        <v/>
      </c>
      <c r="J6" s="217">
        <f>D6-F6</f>
        <v>-121659388</v>
      </c>
      <c r="K6" s="207">
        <f t="shared" ref="K6" si="2">IFERROR(J6/J$5,"")</f>
        <v>0.76901069777895059</v>
      </c>
      <c r="L6" s="217">
        <f>D6-H6</f>
        <v>322811966</v>
      </c>
      <c r="M6" s="210">
        <f t="shared" ref="M6" si="3">IFERROR(L6/L$5,"")</f>
        <v>0.90485297267268161</v>
      </c>
    </row>
    <row r="7" spans="1:13">
      <c r="B7" s="134" t="s">
        <v>5</v>
      </c>
      <c r="C7" s="204" t="s">
        <v>353</v>
      </c>
      <c r="D7" s="216">
        <f>Баланс!D60</f>
        <v>28330694</v>
      </c>
      <c r="E7" s="207">
        <f t="shared" si="0"/>
        <v>7.941190347256244E-2</v>
      </c>
      <c r="F7" s="216">
        <f>Баланс!E60</f>
        <v>44000052</v>
      </c>
      <c r="G7" s="207">
        <f t="shared" si="0"/>
        <v>8.5443841461710621E-2</v>
      </c>
      <c r="H7" s="216">
        <f>Баланс!F60</f>
        <v>0</v>
      </c>
      <c r="I7" s="207" t="str">
        <f t="shared" ref="I7" si="4">IFERROR(H7/H$5,"")</f>
        <v/>
      </c>
      <c r="J7" s="217">
        <f t="shared" ref="J7:J13" si="5">D7-F7</f>
        <v>-15669358</v>
      </c>
      <c r="K7" s="207">
        <f t="shared" ref="K7" si="6">IFERROR(J7/J$5,"")</f>
        <v>9.9046231675340837E-2</v>
      </c>
      <c r="L7" s="217">
        <f t="shared" ref="L7:L13" si="7">D7-H7</f>
        <v>28330694</v>
      </c>
      <c r="M7" s="210">
        <f t="shared" ref="M7" si="8">IFERROR(L7/L$5,"")</f>
        <v>7.941190347256244E-2</v>
      </c>
    </row>
    <row r="8" spans="1:13">
      <c r="B8" s="134" t="s">
        <v>6</v>
      </c>
      <c r="C8" s="204" t="s">
        <v>354</v>
      </c>
      <c r="D8" s="216">
        <f>Баланс!D62</f>
        <v>5613604</v>
      </c>
      <c r="E8" s="207">
        <f t="shared" si="0"/>
        <v>1.5735123854755919E-2</v>
      </c>
      <c r="F8" s="216">
        <f>Баланс!E62</f>
        <v>26487323</v>
      </c>
      <c r="G8" s="207">
        <f t="shared" si="0"/>
        <v>5.1435817102150727E-2</v>
      </c>
      <c r="H8" s="216">
        <f>Баланс!F62</f>
        <v>0</v>
      </c>
      <c r="I8" s="207" t="str">
        <f t="shared" ref="I8" si="9">IFERROR(H8/H$5,"")</f>
        <v/>
      </c>
      <c r="J8" s="217">
        <f t="shared" si="5"/>
        <v>-20873719</v>
      </c>
      <c r="K8" s="207">
        <f t="shared" ref="K8" si="10">IFERROR(J8/J$5,"")</f>
        <v>0.13194307054570864</v>
      </c>
      <c r="L8" s="217">
        <f t="shared" si="7"/>
        <v>5613604</v>
      </c>
      <c r="M8" s="210">
        <f t="shared" ref="M8" si="11">IFERROR(L8/L$5,"")</f>
        <v>1.5735123854755919E-2</v>
      </c>
    </row>
    <row r="9" spans="1:13">
      <c r="B9" s="134" t="s">
        <v>346</v>
      </c>
      <c r="C9" s="202" t="s">
        <v>350</v>
      </c>
      <c r="D9" s="217">
        <f>SUM(D10:D12)</f>
        <v>162257475</v>
      </c>
      <c r="E9" s="207">
        <f>IFERROR(D9/D$9,"")</f>
        <v>1</v>
      </c>
      <c r="F9" s="217">
        <f>SUM(F10:F12)</f>
        <v>110045801</v>
      </c>
      <c r="G9" s="207">
        <f>IFERROR(F9/F$9,"")</f>
        <v>1</v>
      </c>
      <c r="H9" s="217">
        <f>SUM(H10:H12)</f>
        <v>0</v>
      </c>
      <c r="I9" s="207" t="str">
        <f>IFERROR(H9/H$9,"")</f>
        <v/>
      </c>
      <c r="J9" s="217">
        <f>SUM(J10:J12)</f>
        <v>52211674</v>
      </c>
      <c r="K9" s="207">
        <f>IFERROR(J9/J$9,"")</f>
        <v>1</v>
      </c>
      <c r="L9" s="217">
        <f>SUM(L10:L12)</f>
        <v>162257475</v>
      </c>
      <c r="M9" s="210">
        <f>IFERROR(L9/L$9,"")</f>
        <v>1</v>
      </c>
    </row>
    <row r="10" spans="1:13">
      <c r="B10" s="134" t="s">
        <v>8</v>
      </c>
      <c r="C10" s="204" t="s">
        <v>355</v>
      </c>
      <c r="D10" s="216">
        <f>-(Баланс!D54+Баланс!D56+Баланс!D57)</f>
        <v>46938985</v>
      </c>
      <c r="E10" s="207">
        <f t="shared" ref="E10:G12" si="12">IFERROR(D10/D$9,"")</f>
        <v>0.28928704209158929</v>
      </c>
      <c r="F10" s="216">
        <f>-(Баланс!E54+Баланс!E56+Баланс!E57)</f>
        <v>50505447</v>
      </c>
      <c r="G10" s="207">
        <f t="shared" si="12"/>
        <v>0.45894933328714649</v>
      </c>
      <c r="H10" s="216">
        <f>-(Баланс!F54+Баланс!F56+Баланс!F57)</f>
        <v>0</v>
      </c>
      <c r="I10" s="207" t="str">
        <f t="shared" ref="I10" si="13">IFERROR(H10/H$9,"")</f>
        <v/>
      </c>
      <c r="J10" s="217">
        <f t="shared" si="5"/>
        <v>-3566462</v>
      </c>
      <c r="K10" s="207">
        <f t="shared" ref="K10" si="14">IFERROR(J10/J$9,"")</f>
        <v>-6.830775048507351E-2</v>
      </c>
      <c r="L10" s="217">
        <f t="shared" si="7"/>
        <v>46938985</v>
      </c>
      <c r="M10" s="210">
        <f t="shared" ref="M10" si="15">IFERROR(L10/L$9,"")</f>
        <v>0.28928704209158929</v>
      </c>
    </row>
    <row r="11" spans="1:13">
      <c r="B11" s="134" t="s">
        <v>9</v>
      </c>
      <c r="C11" s="204" t="s">
        <v>356</v>
      </c>
      <c r="D11" s="216">
        <f>-Баланс!D61</f>
        <v>46523449</v>
      </c>
      <c r="E11" s="207">
        <f t="shared" si="12"/>
        <v>0.28672607533181443</v>
      </c>
      <c r="F11" s="216">
        <f>-Баланс!E61</f>
        <v>55407910</v>
      </c>
      <c r="G11" s="207">
        <f t="shared" si="12"/>
        <v>0.50349862962967573</v>
      </c>
      <c r="H11" s="216">
        <f>-Баланс!F61</f>
        <v>0</v>
      </c>
      <c r="I11" s="207" t="str">
        <f t="shared" ref="I11" si="16">IFERROR(H11/H$9,"")</f>
        <v/>
      </c>
      <c r="J11" s="217">
        <f t="shared" si="5"/>
        <v>-8884461</v>
      </c>
      <c r="K11" s="207">
        <f t="shared" ref="K11" si="17">IFERROR(J11/J$9,"")</f>
        <v>-0.17016234721759735</v>
      </c>
      <c r="L11" s="217">
        <f t="shared" si="7"/>
        <v>46523449</v>
      </c>
      <c r="M11" s="210">
        <f t="shared" ref="M11" si="18">IFERROR(L11/L$9,"")</f>
        <v>0.28672607533181443</v>
      </c>
    </row>
    <row r="12" spans="1:13">
      <c r="B12" s="192" t="s">
        <v>10</v>
      </c>
      <c r="C12" s="205" t="s">
        <v>357</v>
      </c>
      <c r="D12" s="218">
        <f>-Баланс!D63</f>
        <v>68795041</v>
      </c>
      <c r="E12" s="208">
        <f t="shared" si="12"/>
        <v>0.42398688257659622</v>
      </c>
      <c r="F12" s="218">
        <f>-Баланс!E63</f>
        <v>4132444</v>
      </c>
      <c r="G12" s="208">
        <f t="shared" si="12"/>
        <v>3.755203708317776E-2</v>
      </c>
      <c r="H12" s="218">
        <f>-Баланс!F63</f>
        <v>0</v>
      </c>
      <c r="I12" s="208" t="str">
        <f t="shared" ref="I12" si="19">IFERROR(H12/H$9,"")</f>
        <v/>
      </c>
      <c r="J12" s="217">
        <f t="shared" si="5"/>
        <v>64662597</v>
      </c>
      <c r="K12" s="208">
        <f t="shared" ref="K12" si="20">IFERROR(J12/J$9,"")</f>
        <v>1.2384700977026708</v>
      </c>
      <c r="L12" s="217">
        <f t="shared" si="7"/>
        <v>68795041</v>
      </c>
      <c r="M12" s="211">
        <f t="shared" ref="M12" si="21">IFERROR(L12/L$9,"")</f>
        <v>0.42398688257659622</v>
      </c>
    </row>
    <row r="13" spans="1:13" s="155" customFormat="1">
      <c r="B13" s="198"/>
      <c r="C13" s="203" t="s">
        <v>72</v>
      </c>
      <c r="D13" s="219">
        <f>D5-D9</f>
        <v>194498789</v>
      </c>
      <c r="E13" s="213"/>
      <c r="F13" s="219">
        <f>F5-F9</f>
        <v>404912928</v>
      </c>
      <c r="G13" s="212"/>
      <c r="H13" s="219">
        <f>H5-H9</f>
        <v>0</v>
      </c>
      <c r="I13" s="212"/>
      <c r="J13" s="219">
        <f t="shared" si="5"/>
        <v>-210414139</v>
      </c>
      <c r="K13" s="212"/>
      <c r="L13" s="219">
        <f t="shared" si="7"/>
        <v>194498789</v>
      </c>
      <c r="M13" s="214"/>
    </row>
    <row r="15" spans="1:13" s="8" customFormat="1" ht="18.75">
      <c r="A15" s="8" t="s">
        <v>359</v>
      </c>
    </row>
    <row r="16" spans="1:13">
      <c r="D16" s="37"/>
      <c r="F16" s="37"/>
    </row>
    <row r="17" spans="4:6">
      <c r="D17" s="37"/>
      <c r="F17" s="37"/>
    </row>
    <row r="18" spans="4:6">
      <c r="D18" s="37"/>
      <c r="F18" s="37"/>
    </row>
  </sheetData>
  <mergeCells count="7">
    <mergeCell ref="L3:M3"/>
    <mergeCell ref="H3:I3"/>
    <mergeCell ref="J3:K3"/>
    <mergeCell ref="B3:B4"/>
    <mergeCell ref="C3:C4"/>
    <mergeCell ref="D3:E3"/>
    <mergeCell ref="F3:G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4"/>
  <sheetViews>
    <sheetView zoomScaleNormal="100" zoomScaleSheetLayoutView="100" workbookViewId="0">
      <selection activeCell="I18" sqref="I18"/>
    </sheetView>
  </sheetViews>
  <sheetFormatPr defaultRowHeight="15"/>
  <cols>
    <col min="1" max="1" width="1.7109375" style="1" customWidth="1"/>
    <col min="2" max="2" width="4.7109375" style="1" customWidth="1"/>
    <col min="3" max="3" width="50.42578125" style="1" customWidth="1"/>
    <col min="4" max="4" width="7.7109375" style="1" customWidth="1"/>
    <col min="5" max="7" width="12.7109375" style="1" customWidth="1"/>
    <col min="8" max="11" width="10.7109375" style="1" customWidth="1"/>
    <col min="12" max="12" width="1.7109375" style="1" customWidth="1"/>
    <col min="13" max="16384" width="9.140625" style="1"/>
  </cols>
  <sheetData>
    <row r="1" spans="1:11" s="8" customFormat="1" ht="18.75">
      <c r="A1" s="8" t="s">
        <v>360</v>
      </c>
    </row>
    <row r="2" spans="1:11">
      <c r="K2" s="245" t="str">
        <f>"("&amp;Меню!$Q$4&amp;")"</f>
        <v>(тыс. руб.)</v>
      </c>
    </row>
    <row r="3" spans="1:11" ht="51">
      <c r="B3" s="220" t="s">
        <v>139</v>
      </c>
      <c r="C3" s="220" t="s">
        <v>80</v>
      </c>
      <c r="D3" s="220" t="s">
        <v>361</v>
      </c>
      <c r="E3" s="220" t="str">
        <f>"Отченый период, "&amp;Меню!$N$7</f>
        <v>Отченый период, 2020г.</v>
      </c>
      <c r="F3" s="220" t="str">
        <f>"Базисный период, "&amp;Меню!$N$6</f>
        <v>Базисный период, 2019г.</v>
      </c>
      <c r="G3" s="221" t="s">
        <v>343</v>
      </c>
      <c r="H3" s="221" t="s">
        <v>344</v>
      </c>
      <c r="I3" s="221" t="s">
        <v>362</v>
      </c>
      <c r="J3" s="221" t="s">
        <v>363</v>
      </c>
      <c r="K3" s="221" t="s">
        <v>364</v>
      </c>
    </row>
    <row r="4" spans="1:11">
      <c r="B4" s="222">
        <v>1</v>
      </c>
      <c r="C4" s="222">
        <f>B4+1</f>
        <v>2</v>
      </c>
      <c r="D4" s="222">
        <f t="shared" ref="D4:K4" si="0">C4+1</f>
        <v>3</v>
      </c>
      <c r="E4" s="222">
        <f t="shared" si="0"/>
        <v>4</v>
      </c>
      <c r="F4" s="222">
        <f t="shared" si="0"/>
        <v>5</v>
      </c>
      <c r="G4" s="222">
        <f t="shared" si="0"/>
        <v>6</v>
      </c>
      <c r="H4" s="222">
        <f t="shared" si="0"/>
        <v>7</v>
      </c>
      <c r="I4" s="222">
        <f t="shared" si="0"/>
        <v>8</v>
      </c>
      <c r="J4" s="222">
        <f t="shared" si="0"/>
        <v>9</v>
      </c>
      <c r="K4" s="222">
        <f t="shared" si="0"/>
        <v>10</v>
      </c>
    </row>
    <row r="5" spans="1:11">
      <c r="B5" s="127">
        <v>1</v>
      </c>
      <c r="C5" s="128" t="s">
        <v>61</v>
      </c>
      <c r="D5" s="129">
        <v>2110</v>
      </c>
      <c r="E5" s="223">
        <f>Баланс!D53</f>
        <v>322811966</v>
      </c>
      <c r="F5" s="223">
        <f>Баланс!E53</f>
        <v>444471354</v>
      </c>
      <c r="G5" s="224">
        <f>E5-F5</f>
        <v>-121659388</v>
      </c>
      <c r="H5" s="132">
        <f>IFERROR(E5/F5,"")</f>
        <v>0.72628294960939144</v>
      </c>
      <c r="I5" s="132">
        <f>IFERROR(E5/$F$5,"")</f>
        <v>0.72628294960939144</v>
      </c>
      <c r="J5" s="132">
        <f>IFERROR(F5/$G$5,"")</f>
        <v>-3.6534077748278659</v>
      </c>
      <c r="K5" s="133">
        <f>IFERROR(I5-J5,"")</f>
        <v>4.3796907244372569</v>
      </c>
    </row>
    <row r="6" spans="1:11">
      <c r="B6" s="134">
        <f>B5+1</f>
        <v>2</v>
      </c>
      <c r="C6" s="135" t="s">
        <v>62</v>
      </c>
      <c r="D6" s="197">
        <v>2120</v>
      </c>
      <c r="E6" s="225">
        <f>Баланс!D54</f>
        <v>-15898779</v>
      </c>
      <c r="F6" s="225">
        <f>Баланс!E54</f>
        <v>-19597694</v>
      </c>
      <c r="G6" s="226">
        <f t="shared" ref="G6:G22" si="1">E6-F6</f>
        <v>3698915</v>
      </c>
      <c r="H6" s="157">
        <f t="shared" ref="H6:H22" si="2">IFERROR(E6/F6,"")</f>
        <v>0.81125764082243557</v>
      </c>
      <c r="I6" s="157">
        <f t="shared" ref="I6:I22" si="3">IFERROR(E6/$F$5,"")</f>
        <v>-3.5770086996427669E-2</v>
      </c>
      <c r="J6" s="157">
        <f t="shared" ref="J6:J22" si="4">IFERROR(F6/$G$5,"")</f>
        <v>0.16108657393542042</v>
      </c>
      <c r="K6" s="140">
        <f t="shared" ref="K6:K22" si="5">IFERROR(I6-J6,"")</f>
        <v>-0.19685666093184809</v>
      </c>
    </row>
    <row r="7" spans="1:11">
      <c r="B7" s="243">
        <f t="shared" ref="B7:B22" si="6">B6+1</f>
        <v>3</v>
      </c>
      <c r="C7" s="241" t="s">
        <v>63</v>
      </c>
      <c r="D7" s="242">
        <v>2100</v>
      </c>
      <c r="E7" s="225">
        <f>Баланс!D55</f>
        <v>306913187</v>
      </c>
      <c r="F7" s="225">
        <f>Баланс!E55</f>
        <v>424873660</v>
      </c>
      <c r="G7" s="226">
        <f t="shared" si="1"/>
        <v>-117960473</v>
      </c>
      <c r="H7" s="157">
        <f t="shared" si="2"/>
        <v>0.7223634126907279</v>
      </c>
      <c r="I7" s="157">
        <f t="shared" si="3"/>
        <v>0.69051286261296385</v>
      </c>
      <c r="J7" s="157">
        <f t="shared" si="4"/>
        <v>-3.4923212008924458</v>
      </c>
      <c r="K7" s="140">
        <f t="shared" si="5"/>
        <v>4.1828340635054095</v>
      </c>
    </row>
    <row r="8" spans="1:11">
      <c r="B8" s="134">
        <f t="shared" si="6"/>
        <v>4</v>
      </c>
      <c r="C8" s="135" t="s">
        <v>64</v>
      </c>
      <c r="D8" s="197">
        <v>2210</v>
      </c>
      <c r="E8" s="225">
        <f>Баланс!D56</f>
        <v>-647206</v>
      </c>
      <c r="F8" s="225">
        <f>Баланс!E56</f>
        <v>-1420592</v>
      </c>
      <c r="G8" s="226">
        <f t="shared" si="1"/>
        <v>773386</v>
      </c>
      <c r="H8" s="157">
        <f t="shared" si="2"/>
        <v>0.45558893756968927</v>
      </c>
      <c r="I8" s="157">
        <f t="shared" si="3"/>
        <v>-1.4561253367073011E-3</v>
      </c>
      <c r="J8" s="157">
        <f t="shared" si="4"/>
        <v>1.1676797190530006E-2</v>
      </c>
      <c r="K8" s="140">
        <f t="shared" si="5"/>
        <v>-1.3132922527237308E-2</v>
      </c>
    </row>
    <row r="9" spans="1:11">
      <c r="B9" s="134">
        <f t="shared" si="6"/>
        <v>5</v>
      </c>
      <c r="C9" s="135" t="s">
        <v>65</v>
      </c>
      <c r="D9" s="197">
        <v>2220</v>
      </c>
      <c r="E9" s="225">
        <f>Баланс!D57</f>
        <v>-30393000</v>
      </c>
      <c r="F9" s="225">
        <f>Баланс!E57</f>
        <v>-29487161</v>
      </c>
      <c r="G9" s="226">
        <f t="shared" si="1"/>
        <v>-905839</v>
      </c>
      <c r="H9" s="157">
        <f t="shared" si="2"/>
        <v>1.0307197766512686</v>
      </c>
      <c r="I9" s="157">
        <f t="shared" si="3"/>
        <v>-6.8380109823680563E-2</v>
      </c>
      <c r="J9" s="157">
        <f t="shared" si="4"/>
        <v>0.24237472738232088</v>
      </c>
      <c r="K9" s="140">
        <f t="shared" si="5"/>
        <v>-0.31075483720600144</v>
      </c>
    </row>
    <row r="10" spans="1:11">
      <c r="B10" s="243">
        <f t="shared" si="6"/>
        <v>6</v>
      </c>
      <c r="C10" s="241" t="s">
        <v>66</v>
      </c>
      <c r="D10" s="242">
        <v>2200</v>
      </c>
      <c r="E10" s="225">
        <f>Баланс!D58</f>
        <v>275872981</v>
      </c>
      <c r="F10" s="225">
        <f>Баланс!E58</f>
        <v>393965907</v>
      </c>
      <c r="G10" s="226">
        <f t="shared" si="1"/>
        <v>-118092926</v>
      </c>
      <c r="H10" s="157">
        <f t="shared" si="2"/>
        <v>0.70024582355548848</v>
      </c>
      <c r="I10" s="157">
        <f t="shared" si="3"/>
        <v>0.6206766274525759</v>
      </c>
      <c r="J10" s="157">
        <f t="shared" si="4"/>
        <v>-3.2382696763195948</v>
      </c>
      <c r="K10" s="140">
        <f t="shared" si="5"/>
        <v>3.8589463037721705</v>
      </c>
    </row>
    <row r="11" spans="1:11">
      <c r="B11" s="134">
        <f t="shared" si="6"/>
        <v>7</v>
      </c>
      <c r="C11" s="135" t="s">
        <v>67</v>
      </c>
      <c r="D11" s="197">
        <v>2310</v>
      </c>
      <c r="E11" s="225">
        <f>Баланс!D59</f>
        <v>0</v>
      </c>
      <c r="F11" s="225">
        <f>Баланс!E59</f>
        <v>0</v>
      </c>
      <c r="G11" s="226">
        <f t="shared" si="1"/>
        <v>0</v>
      </c>
      <c r="H11" s="157" t="str">
        <f t="shared" si="2"/>
        <v/>
      </c>
      <c r="I11" s="157">
        <f t="shared" si="3"/>
        <v>0</v>
      </c>
      <c r="J11" s="157">
        <f t="shared" si="4"/>
        <v>0</v>
      </c>
      <c r="K11" s="140">
        <f t="shared" si="5"/>
        <v>0</v>
      </c>
    </row>
    <row r="12" spans="1:11">
      <c r="B12" s="134">
        <f t="shared" si="6"/>
        <v>8</v>
      </c>
      <c r="C12" s="135" t="s">
        <v>68</v>
      </c>
      <c r="D12" s="197">
        <v>2320</v>
      </c>
      <c r="E12" s="225">
        <f>Баланс!D60</f>
        <v>28330694</v>
      </c>
      <c r="F12" s="225">
        <f>Баланс!E60</f>
        <v>44000052</v>
      </c>
      <c r="G12" s="226">
        <f t="shared" si="1"/>
        <v>-15669358</v>
      </c>
      <c r="H12" s="157">
        <f t="shared" si="2"/>
        <v>0.64387864814341578</v>
      </c>
      <c r="I12" s="157">
        <f t="shared" si="3"/>
        <v>6.3740202253844233E-2</v>
      </c>
      <c r="J12" s="157">
        <f t="shared" si="4"/>
        <v>-0.36166589955228118</v>
      </c>
      <c r="K12" s="140">
        <f t="shared" si="5"/>
        <v>0.42540610180612543</v>
      </c>
    </row>
    <row r="13" spans="1:11">
      <c r="B13" s="134">
        <f t="shared" si="6"/>
        <v>9</v>
      </c>
      <c r="C13" s="135" t="s">
        <v>69</v>
      </c>
      <c r="D13" s="197">
        <v>2330</v>
      </c>
      <c r="E13" s="225">
        <f>Баланс!D61</f>
        <v>-46523449</v>
      </c>
      <c r="F13" s="225">
        <f>Баланс!E61</f>
        <v>-55407910</v>
      </c>
      <c r="G13" s="226">
        <f t="shared" si="1"/>
        <v>8884461</v>
      </c>
      <c r="H13" s="157">
        <f t="shared" si="2"/>
        <v>0.83965356209970743</v>
      </c>
      <c r="I13" s="157">
        <f t="shared" si="3"/>
        <v>-0.10467142276170176</v>
      </c>
      <c r="J13" s="157">
        <f t="shared" si="4"/>
        <v>0.4554347256785477</v>
      </c>
      <c r="K13" s="140">
        <f t="shared" si="5"/>
        <v>-0.56010614844024942</v>
      </c>
    </row>
    <row r="14" spans="1:11">
      <c r="B14" s="134">
        <f t="shared" si="6"/>
        <v>10</v>
      </c>
      <c r="C14" s="135" t="s">
        <v>70</v>
      </c>
      <c r="D14" s="197">
        <v>2340</v>
      </c>
      <c r="E14" s="225">
        <f>Баланс!D62</f>
        <v>5613604</v>
      </c>
      <c r="F14" s="225">
        <f>Баланс!E62</f>
        <v>26487323</v>
      </c>
      <c r="G14" s="226">
        <f t="shared" si="1"/>
        <v>-20873719</v>
      </c>
      <c r="H14" s="157">
        <f t="shared" si="2"/>
        <v>0.21193549835141889</v>
      </c>
      <c r="I14" s="157">
        <f t="shared" si="3"/>
        <v>1.2629844307131658E-2</v>
      </c>
      <c r="J14" s="157">
        <f t="shared" si="4"/>
        <v>-0.21771704950546028</v>
      </c>
      <c r="K14" s="140">
        <f t="shared" si="5"/>
        <v>0.23034689381259194</v>
      </c>
    </row>
    <row r="15" spans="1:11">
      <c r="B15" s="134">
        <f t="shared" si="6"/>
        <v>11</v>
      </c>
      <c r="C15" s="135" t="s">
        <v>71</v>
      </c>
      <c r="D15" s="197">
        <v>2350</v>
      </c>
      <c r="E15" s="225">
        <f>Баланс!D63</f>
        <v>-68795041</v>
      </c>
      <c r="F15" s="225">
        <f>Баланс!E63</f>
        <v>-4132444</v>
      </c>
      <c r="G15" s="226">
        <f t="shared" si="1"/>
        <v>-64662597</v>
      </c>
      <c r="H15" s="157">
        <f t="shared" si="2"/>
        <v>16.647543439185142</v>
      </c>
      <c r="I15" s="157">
        <f t="shared" si="3"/>
        <v>-0.15477947089476546</v>
      </c>
      <c r="J15" s="157">
        <f t="shared" si="4"/>
        <v>3.3967325234284425E-2</v>
      </c>
      <c r="K15" s="140">
        <f t="shared" si="5"/>
        <v>-0.18874679612904988</v>
      </c>
    </row>
    <row r="16" spans="1:11">
      <c r="B16" s="243">
        <f t="shared" si="6"/>
        <v>12</v>
      </c>
      <c r="C16" s="241" t="s">
        <v>72</v>
      </c>
      <c r="D16" s="242">
        <v>2300</v>
      </c>
      <c r="E16" s="225">
        <f>Баланс!D64</f>
        <v>194498789</v>
      </c>
      <c r="F16" s="225">
        <f>Баланс!E64</f>
        <v>404912928</v>
      </c>
      <c r="G16" s="226">
        <f t="shared" si="1"/>
        <v>-210414139</v>
      </c>
      <c r="H16" s="157">
        <f t="shared" si="2"/>
        <v>0.48034719454549002</v>
      </c>
      <c r="I16" s="157">
        <f t="shared" si="3"/>
        <v>0.43759578035708463</v>
      </c>
      <c r="J16" s="157">
        <f t="shared" si="4"/>
        <v>-3.3282505744645041</v>
      </c>
      <c r="K16" s="140">
        <f t="shared" si="5"/>
        <v>3.7658463548215888</v>
      </c>
    </row>
    <row r="17" spans="2:11">
      <c r="B17" s="134">
        <f t="shared" si="6"/>
        <v>13</v>
      </c>
      <c r="C17" s="135" t="s">
        <v>73</v>
      </c>
      <c r="D17" s="197">
        <v>2410</v>
      </c>
      <c r="E17" s="225">
        <f>Баланс!D65</f>
        <v>16169929</v>
      </c>
      <c r="F17" s="225">
        <f>Баланс!E65</f>
        <v>-6263905</v>
      </c>
      <c r="G17" s="226">
        <f t="shared" si="1"/>
        <v>22433834</v>
      </c>
      <c r="H17" s="157">
        <f t="shared" si="2"/>
        <v>-2.5814454401846771</v>
      </c>
      <c r="I17" s="157">
        <f t="shared" si="3"/>
        <v>3.6380137560001226E-2</v>
      </c>
      <c r="J17" s="157">
        <f t="shared" si="4"/>
        <v>5.1487230890886942E-2</v>
      </c>
      <c r="K17" s="140">
        <f t="shared" si="5"/>
        <v>-1.5107093330885717E-2</v>
      </c>
    </row>
    <row r="18" spans="2:11" ht="30">
      <c r="B18" s="134">
        <f t="shared" si="6"/>
        <v>14</v>
      </c>
      <c r="C18" s="135" t="s">
        <v>74</v>
      </c>
      <c r="D18" s="197">
        <v>2421</v>
      </c>
      <c r="E18" s="225">
        <f>Баланс!D66</f>
        <v>0</v>
      </c>
      <c r="F18" s="225">
        <f>Баланс!E66</f>
        <v>0</v>
      </c>
      <c r="G18" s="226">
        <f t="shared" si="1"/>
        <v>0</v>
      </c>
      <c r="H18" s="157" t="str">
        <f t="shared" si="2"/>
        <v/>
      </c>
      <c r="I18" s="157">
        <f t="shared" si="3"/>
        <v>0</v>
      </c>
      <c r="J18" s="157">
        <f t="shared" si="4"/>
        <v>0</v>
      </c>
      <c r="K18" s="140">
        <f t="shared" si="5"/>
        <v>0</v>
      </c>
    </row>
    <row r="19" spans="2:11">
      <c r="B19" s="134">
        <f t="shared" si="6"/>
        <v>15</v>
      </c>
      <c r="C19" s="135" t="s">
        <v>75</v>
      </c>
      <c r="D19" s="197">
        <v>2430</v>
      </c>
      <c r="E19" s="225">
        <f>Баланс!D67</f>
        <v>0</v>
      </c>
      <c r="F19" s="225">
        <f>Баланс!E67</f>
        <v>0</v>
      </c>
      <c r="G19" s="226">
        <f t="shared" si="1"/>
        <v>0</v>
      </c>
      <c r="H19" s="157" t="str">
        <f t="shared" si="2"/>
        <v/>
      </c>
      <c r="I19" s="157">
        <f t="shared" si="3"/>
        <v>0</v>
      </c>
      <c r="J19" s="157">
        <f t="shared" si="4"/>
        <v>0</v>
      </c>
      <c r="K19" s="140">
        <f t="shared" si="5"/>
        <v>0</v>
      </c>
    </row>
    <row r="20" spans="2:11">
      <c r="B20" s="134">
        <f t="shared" si="6"/>
        <v>16</v>
      </c>
      <c r="C20" s="135" t="s">
        <v>76</v>
      </c>
      <c r="D20" s="197">
        <v>2450</v>
      </c>
      <c r="E20" s="225">
        <f>Баланс!D68</f>
        <v>0</v>
      </c>
      <c r="F20" s="225">
        <f>Баланс!E68</f>
        <v>0</v>
      </c>
      <c r="G20" s="226">
        <f t="shared" si="1"/>
        <v>0</v>
      </c>
      <c r="H20" s="157" t="str">
        <f t="shared" si="2"/>
        <v/>
      </c>
      <c r="I20" s="157">
        <f t="shared" si="3"/>
        <v>0</v>
      </c>
      <c r="J20" s="157">
        <f t="shared" si="4"/>
        <v>0</v>
      </c>
      <c r="K20" s="140">
        <f t="shared" si="5"/>
        <v>0</v>
      </c>
    </row>
    <row r="21" spans="2:11">
      <c r="B21" s="192">
        <f t="shared" si="6"/>
        <v>17</v>
      </c>
      <c r="C21" s="193" t="s">
        <v>77</v>
      </c>
      <c r="D21" s="199">
        <v>2460</v>
      </c>
      <c r="E21" s="227">
        <f>Баланс!D69</f>
        <v>0</v>
      </c>
      <c r="F21" s="227">
        <f>Баланс!E69</f>
        <v>0</v>
      </c>
      <c r="G21" s="228">
        <f t="shared" si="1"/>
        <v>0</v>
      </c>
      <c r="H21" s="200" t="str">
        <f t="shared" si="2"/>
        <v/>
      </c>
      <c r="I21" s="200">
        <f t="shared" si="3"/>
        <v>0</v>
      </c>
      <c r="J21" s="200">
        <f t="shared" si="4"/>
        <v>0</v>
      </c>
      <c r="K21" s="176">
        <f t="shared" si="5"/>
        <v>0</v>
      </c>
    </row>
    <row r="22" spans="2:11">
      <c r="B22" s="244">
        <f t="shared" si="6"/>
        <v>18</v>
      </c>
      <c r="C22" s="239" t="s">
        <v>78</v>
      </c>
      <c r="D22" s="240">
        <v>2400</v>
      </c>
      <c r="E22" s="229">
        <f>Баланс!D70</f>
        <v>197559111</v>
      </c>
      <c r="F22" s="229">
        <f>Баланс!E70</f>
        <v>403070730</v>
      </c>
      <c r="G22" s="230">
        <f t="shared" si="1"/>
        <v>-205511619</v>
      </c>
      <c r="H22" s="179">
        <f t="shared" si="2"/>
        <v>0.49013509614057066</v>
      </c>
      <c r="I22" s="194">
        <f t="shared" si="3"/>
        <v>0.44448108797580688</v>
      </c>
      <c r="J22" s="194">
        <f t="shared" si="4"/>
        <v>-3.3131083151593694</v>
      </c>
      <c r="K22" s="180">
        <f t="shared" si="5"/>
        <v>3.7575894031351762</v>
      </c>
    </row>
    <row r="23" spans="2:11" ht="38.25">
      <c r="B23" s="127">
        <v>19</v>
      </c>
      <c r="C23" s="128" t="s">
        <v>366</v>
      </c>
      <c r="D23" s="129" t="s">
        <v>148</v>
      </c>
      <c r="E23" s="231">
        <f>H10/H16</f>
        <v>1.4577910134732213</v>
      </c>
      <c r="F23" s="232"/>
      <c r="G23" s="233"/>
      <c r="H23" s="234"/>
      <c r="I23" s="234"/>
      <c r="J23" s="234"/>
      <c r="K23" s="235"/>
    </row>
    <row r="24" spans="2:11" ht="30">
      <c r="B24" s="142">
        <v>20</v>
      </c>
      <c r="C24" s="143" t="s">
        <v>365</v>
      </c>
      <c r="D24" s="144" t="s">
        <v>194</v>
      </c>
      <c r="E24" s="236">
        <f>H5/H6</f>
        <v>0.89525560446259878</v>
      </c>
      <c r="F24" s="237"/>
      <c r="G24" s="238"/>
      <c r="H24" s="169"/>
      <c r="I24" s="169"/>
      <c r="J24" s="169"/>
      <c r="K24" s="170"/>
    </row>
  </sheetData>
  <printOptions horizontalCentered="1"/>
  <pageMargins left="0.19685039370078741" right="0.19685039370078741" top="0.78740157480314965" bottom="0.3937007874015748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5"/>
  <sheetViews>
    <sheetView tabSelected="1" zoomScaleNormal="100" zoomScaleSheetLayoutView="100" workbookViewId="0">
      <selection activeCell="B50" sqref="B50:E70"/>
    </sheetView>
  </sheetViews>
  <sheetFormatPr defaultRowHeight="15"/>
  <cols>
    <col min="1" max="1" width="1.7109375" style="1" customWidth="1"/>
    <col min="2" max="2" width="47.140625" style="1" customWidth="1"/>
    <col min="3" max="3" width="9.140625" style="1"/>
    <col min="4" max="4" width="15.140625" style="1" customWidth="1"/>
    <col min="5" max="5" width="17.5703125" style="1" customWidth="1"/>
    <col min="6" max="7" width="12.7109375" style="1" customWidth="1"/>
    <col min="8" max="8" width="1.7109375" style="1" customWidth="1"/>
    <col min="9" max="16384" width="9.140625" style="1"/>
  </cols>
  <sheetData>
    <row r="1" spans="1:7" s="8" customFormat="1" ht="18.75">
      <c r="A1" s="8" t="s">
        <v>17</v>
      </c>
    </row>
    <row r="2" spans="1:7">
      <c r="F2" s="4"/>
      <c r="G2" s="245" t="str">
        <f>"("&amp;Меню!$Q$4&amp;")"</f>
        <v>(тыс. руб.)</v>
      </c>
    </row>
    <row r="3" spans="1:7" ht="30">
      <c r="B3" s="9" t="s">
        <v>18</v>
      </c>
      <c r="C3" s="9" t="s">
        <v>19</v>
      </c>
      <c r="D3" s="9" t="str">
        <f>CONCATENATE("На 31 декабря ",Меню!$N$7)</f>
        <v>На 31 декабря 2020г.</v>
      </c>
      <c r="E3" s="9" t="str">
        <f>CONCATENATE("На 31 декабря ",Меню!$N$6)</f>
        <v>На 31 декабря 2019г.</v>
      </c>
      <c r="F3" s="9"/>
      <c r="G3" s="9"/>
    </row>
    <row r="4" spans="1:7">
      <c r="B4" s="10" t="s">
        <v>20</v>
      </c>
      <c r="C4" s="11"/>
      <c r="D4" s="12"/>
      <c r="E4" s="12"/>
      <c r="F4" s="12"/>
      <c r="G4" s="13"/>
    </row>
    <row r="5" spans="1:7">
      <c r="B5" s="14" t="s">
        <v>21</v>
      </c>
      <c r="C5" s="15"/>
      <c r="D5" s="16"/>
      <c r="E5" s="16"/>
      <c r="F5" s="16"/>
      <c r="G5" s="17"/>
    </row>
    <row r="6" spans="1:7">
      <c r="B6" s="18" t="s">
        <v>22</v>
      </c>
      <c r="C6" s="19">
        <v>1110</v>
      </c>
      <c r="D6" s="20">
        <v>2364910</v>
      </c>
      <c r="E6" s="21">
        <v>1722130</v>
      </c>
      <c r="F6" s="21"/>
      <c r="G6" s="22"/>
    </row>
    <row r="7" spans="1:7">
      <c r="B7" s="18" t="s">
        <v>23</v>
      </c>
      <c r="C7" s="19">
        <v>1120</v>
      </c>
      <c r="D7" s="23">
        <v>10839</v>
      </c>
      <c r="E7" s="24">
        <v>8990</v>
      </c>
      <c r="F7" s="24"/>
      <c r="G7" s="25"/>
    </row>
    <row r="8" spans="1:7">
      <c r="B8" s="18" t="s">
        <v>24</v>
      </c>
      <c r="C8" s="19">
        <v>1130</v>
      </c>
      <c r="D8" s="23"/>
      <c r="E8" s="24"/>
      <c r="F8" s="24"/>
      <c r="G8" s="25"/>
    </row>
    <row r="9" spans="1:7">
      <c r="B9" s="18" t="s">
        <v>25</v>
      </c>
      <c r="C9" s="19">
        <v>1140</v>
      </c>
      <c r="D9" s="23"/>
      <c r="E9" s="24"/>
      <c r="F9" s="24"/>
      <c r="G9" s="25"/>
    </row>
    <row r="10" spans="1:7">
      <c r="B10" s="18" t="s">
        <v>26</v>
      </c>
      <c r="C10" s="19">
        <v>1150</v>
      </c>
      <c r="D10" s="23">
        <v>15440798</v>
      </c>
      <c r="E10" s="24">
        <v>14591821</v>
      </c>
      <c r="F10" s="24"/>
      <c r="G10" s="25"/>
    </row>
    <row r="11" spans="1:7" ht="30">
      <c r="B11" s="18" t="s">
        <v>27</v>
      </c>
      <c r="C11" s="19">
        <v>1160</v>
      </c>
      <c r="D11" s="23"/>
      <c r="E11" s="24"/>
      <c r="F11" s="24"/>
      <c r="G11" s="25"/>
    </row>
    <row r="12" spans="1:7">
      <c r="B12" s="18" t="s">
        <v>28</v>
      </c>
      <c r="C12" s="19">
        <v>1170</v>
      </c>
      <c r="D12" s="23">
        <v>1352027698</v>
      </c>
      <c r="E12" s="24">
        <v>1490310179</v>
      </c>
      <c r="F12" s="24"/>
      <c r="G12" s="25"/>
    </row>
    <row r="13" spans="1:7">
      <c r="B13" s="18" t="s">
        <v>29</v>
      </c>
      <c r="C13" s="19">
        <v>1180</v>
      </c>
      <c r="D13" s="23">
        <v>15493815</v>
      </c>
      <c r="E13" s="24">
        <v>10915664</v>
      </c>
      <c r="F13" s="24"/>
      <c r="G13" s="25"/>
    </row>
    <row r="14" spans="1:7">
      <c r="B14" s="18" t="s">
        <v>30</v>
      </c>
      <c r="C14" s="19">
        <v>1190</v>
      </c>
      <c r="D14" s="26">
        <v>620937</v>
      </c>
      <c r="E14" s="27">
        <v>850651</v>
      </c>
      <c r="F14" s="27"/>
      <c r="G14" s="28"/>
    </row>
    <row r="15" spans="1:7">
      <c r="B15" s="29" t="s">
        <v>31</v>
      </c>
      <c r="C15" s="30">
        <v>1100</v>
      </c>
      <c r="D15" s="31">
        <f>SUM(D6:D14)</f>
        <v>1385958997</v>
      </c>
      <c r="E15" s="31">
        <f t="shared" ref="E15" si="0">SUM(E6:E14)</f>
        <v>1518399435</v>
      </c>
      <c r="F15" s="31"/>
      <c r="G15" s="31"/>
    </row>
    <row r="16" spans="1:7">
      <c r="B16" s="14" t="s">
        <v>32</v>
      </c>
      <c r="C16" s="15"/>
      <c r="D16" s="16"/>
      <c r="E16" s="16"/>
      <c r="F16" s="16"/>
      <c r="G16" s="17"/>
    </row>
    <row r="17" spans="2:7">
      <c r="B17" s="18" t="s">
        <v>33</v>
      </c>
      <c r="C17" s="19">
        <v>1210</v>
      </c>
      <c r="D17" s="20">
        <v>61452</v>
      </c>
      <c r="E17" s="21">
        <v>39260</v>
      </c>
      <c r="F17" s="21"/>
      <c r="G17" s="22"/>
    </row>
    <row r="18" spans="2:7" ht="30">
      <c r="B18" s="18" t="s">
        <v>34</v>
      </c>
      <c r="C18" s="19">
        <v>1220</v>
      </c>
      <c r="D18" s="23">
        <v>228413</v>
      </c>
      <c r="E18" s="24">
        <v>387525</v>
      </c>
      <c r="F18" s="24"/>
      <c r="G18" s="25"/>
    </row>
    <row r="19" spans="2:7">
      <c r="B19" s="18" t="s">
        <v>35</v>
      </c>
      <c r="C19" s="19">
        <v>1230</v>
      </c>
      <c r="D19" s="23">
        <v>218440775</v>
      </c>
      <c r="E19" s="24">
        <v>398369475</v>
      </c>
      <c r="F19" s="24"/>
      <c r="G19" s="25"/>
    </row>
    <row r="20" spans="2:7" ht="30">
      <c r="B20" s="18" t="s">
        <v>36</v>
      </c>
      <c r="C20" s="19">
        <v>1240</v>
      </c>
      <c r="D20" s="23">
        <v>107674106</v>
      </c>
      <c r="E20" s="24">
        <v>51427222</v>
      </c>
      <c r="F20" s="24"/>
      <c r="G20" s="25"/>
    </row>
    <row r="21" spans="2:7">
      <c r="B21" s="18" t="s">
        <v>37</v>
      </c>
      <c r="C21" s="19">
        <v>1250</v>
      </c>
      <c r="D21" s="23">
        <v>15963819</v>
      </c>
      <c r="E21" s="24">
        <v>250605972</v>
      </c>
      <c r="F21" s="24"/>
      <c r="G21" s="25"/>
    </row>
    <row r="22" spans="2:7">
      <c r="B22" s="32" t="s">
        <v>38</v>
      </c>
      <c r="C22" s="33">
        <v>1260</v>
      </c>
      <c r="D22" s="26"/>
      <c r="E22" s="27"/>
      <c r="F22" s="27"/>
      <c r="G22" s="28"/>
    </row>
    <row r="23" spans="2:7">
      <c r="B23" s="29" t="s">
        <v>39</v>
      </c>
      <c r="C23" s="30">
        <v>1200</v>
      </c>
      <c r="D23" s="31">
        <f>SUM(D17:D22)</f>
        <v>342368565</v>
      </c>
      <c r="E23" s="31">
        <f>SUM(E17:E22)</f>
        <v>700829454</v>
      </c>
      <c r="F23" s="31"/>
      <c r="G23" s="31"/>
    </row>
    <row r="24" spans="2:7">
      <c r="B24" s="34" t="s">
        <v>40</v>
      </c>
      <c r="C24" s="35">
        <v>1600</v>
      </c>
      <c r="D24" s="36">
        <f>SUM(D15,D23)</f>
        <v>1728327562</v>
      </c>
      <c r="E24" s="36">
        <f>SUM(E15,E23)</f>
        <v>2219228889</v>
      </c>
      <c r="F24" s="36"/>
      <c r="G24" s="36"/>
    </row>
    <row r="25" spans="2:7">
      <c r="B25" s="10" t="s">
        <v>41</v>
      </c>
      <c r="C25" s="11"/>
      <c r="D25" s="12"/>
      <c r="E25" s="12"/>
      <c r="F25" s="12"/>
      <c r="G25" s="13"/>
    </row>
    <row r="26" spans="2:7">
      <c r="B26" s="14" t="s">
        <v>42</v>
      </c>
      <c r="C26" s="15"/>
      <c r="D26" s="16"/>
      <c r="E26" s="16"/>
      <c r="F26" s="16"/>
      <c r="G26" s="17"/>
    </row>
    <row r="27" spans="2:7" ht="30">
      <c r="B27" s="18" t="s">
        <v>43</v>
      </c>
      <c r="C27" s="19">
        <v>1310</v>
      </c>
      <c r="D27" s="20">
        <v>17322</v>
      </c>
      <c r="E27" s="21">
        <v>17875</v>
      </c>
      <c r="F27" s="21"/>
      <c r="G27" s="22"/>
    </row>
    <row r="28" spans="2:7">
      <c r="B28" s="18" t="s">
        <v>44</v>
      </c>
      <c r="C28" s="19">
        <v>1320</v>
      </c>
      <c r="D28" s="23"/>
      <c r="E28" s="24">
        <v>2</v>
      </c>
      <c r="F28" s="24"/>
      <c r="G28" s="25"/>
    </row>
    <row r="29" spans="2:7">
      <c r="B29" s="18" t="s">
        <v>45</v>
      </c>
      <c r="C29" s="19">
        <v>1340</v>
      </c>
      <c r="D29" s="23"/>
      <c r="E29" s="24"/>
      <c r="F29" s="24"/>
      <c r="G29" s="25"/>
    </row>
    <row r="30" spans="2:7">
      <c r="B30" s="18" t="s">
        <v>46</v>
      </c>
      <c r="C30" s="19">
        <v>1350</v>
      </c>
      <c r="D30" s="23">
        <v>-37235</v>
      </c>
      <c r="E30" s="24"/>
      <c r="F30" s="24"/>
      <c r="G30" s="25"/>
    </row>
    <row r="31" spans="2:7">
      <c r="B31" s="18" t="s">
        <v>47</v>
      </c>
      <c r="C31" s="19">
        <v>1360</v>
      </c>
      <c r="D31" s="23">
        <v>2598</v>
      </c>
      <c r="E31" s="24">
        <v>2681</v>
      </c>
      <c r="F31" s="24"/>
      <c r="G31" s="25"/>
    </row>
    <row r="32" spans="2:7" ht="30">
      <c r="B32" s="18" t="s">
        <v>48</v>
      </c>
      <c r="C32" s="19">
        <v>1370</v>
      </c>
      <c r="D32" s="26">
        <v>772199935</v>
      </c>
      <c r="E32" s="27">
        <v>966198773</v>
      </c>
      <c r="F32" s="27"/>
      <c r="G32" s="28"/>
    </row>
    <row r="33" spans="2:11">
      <c r="B33" s="29" t="s">
        <v>49</v>
      </c>
      <c r="C33" s="30">
        <v>1300</v>
      </c>
      <c r="D33" s="31">
        <f>SUM(D27:D32)</f>
        <v>772182620</v>
      </c>
      <c r="E33" s="31">
        <f t="shared" ref="E33" si="1">SUM(E27:E32)</f>
        <v>966219331</v>
      </c>
      <c r="F33" s="31"/>
      <c r="G33" s="31"/>
    </row>
    <row r="34" spans="2:11">
      <c r="B34" s="14" t="s">
        <v>50</v>
      </c>
      <c r="C34" s="15"/>
      <c r="D34" s="16"/>
      <c r="E34" s="16"/>
      <c r="F34" s="16"/>
      <c r="G34" s="17"/>
    </row>
    <row r="35" spans="2:11">
      <c r="B35" s="18" t="s">
        <v>51</v>
      </c>
      <c r="C35" s="19">
        <v>1410</v>
      </c>
      <c r="D35" s="20">
        <v>332440650</v>
      </c>
      <c r="E35" s="21">
        <v>185717100</v>
      </c>
      <c r="F35" s="21"/>
      <c r="G35" s="22"/>
      <c r="K35" s="46"/>
    </row>
    <row r="36" spans="2:11">
      <c r="B36" s="18" t="s">
        <v>52</v>
      </c>
      <c r="C36" s="19">
        <v>1420</v>
      </c>
      <c r="D36" s="23">
        <v>1201281</v>
      </c>
      <c r="E36" s="24">
        <v>644711</v>
      </c>
      <c r="F36" s="24"/>
      <c r="G36" s="25"/>
    </row>
    <row r="37" spans="2:11">
      <c r="B37" s="18" t="s">
        <v>53</v>
      </c>
      <c r="C37" s="19">
        <v>1430</v>
      </c>
      <c r="D37" s="23">
        <v>837058</v>
      </c>
      <c r="E37" s="24">
        <v>845491</v>
      </c>
      <c r="F37" s="24"/>
      <c r="G37" s="25"/>
    </row>
    <row r="38" spans="2:11">
      <c r="B38" s="18" t="s">
        <v>54</v>
      </c>
      <c r="C38" s="19">
        <v>1450</v>
      </c>
      <c r="D38" s="26">
        <v>15892</v>
      </c>
      <c r="E38" s="27">
        <v>54742</v>
      </c>
      <c r="F38" s="27"/>
      <c r="G38" s="28"/>
    </row>
    <row r="39" spans="2:11">
      <c r="B39" s="29" t="s">
        <v>55</v>
      </c>
      <c r="C39" s="30">
        <v>1400</v>
      </c>
      <c r="D39" s="31">
        <f>SUM(D35:D38)</f>
        <v>334494881</v>
      </c>
      <c r="E39" s="31">
        <f t="shared" ref="E39" si="2">SUM(E35:E38)</f>
        <v>187262044</v>
      </c>
      <c r="F39" s="31"/>
      <c r="G39" s="31"/>
    </row>
    <row r="40" spans="2:11">
      <c r="B40" s="14" t="s">
        <v>56</v>
      </c>
      <c r="C40" s="15"/>
      <c r="D40" s="16"/>
      <c r="E40" s="16"/>
      <c r="F40" s="16"/>
      <c r="G40" s="17"/>
    </row>
    <row r="41" spans="2:11">
      <c r="B41" s="18" t="s">
        <v>51</v>
      </c>
      <c r="C41" s="19">
        <v>1510</v>
      </c>
      <c r="D41" s="20">
        <v>523015889</v>
      </c>
      <c r="E41" s="21">
        <v>755331842</v>
      </c>
      <c r="F41" s="21"/>
      <c r="G41" s="22"/>
    </row>
    <row r="42" spans="2:11">
      <c r="B42" s="18" t="s">
        <v>57</v>
      </c>
      <c r="C42" s="19">
        <v>1520</v>
      </c>
      <c r="D42" s="23">
        <v>94084277</v>
      </c>
      <c r="E42" s="24">
        <v>306679032</v>
      </c>
      <c r="F42" s="24"/>
      <c r="G42" s="25"/>
    </row>
    <row r="43" spans="2:11">
      <c r="B43" s="18" t="s">
        <v>58</v>
      </c>
      <c r="C43" s="19">
        <v>1530</v>
      </c>
      <c r="D43" s="23"/>
      <c r="E43" s="24"/>
      <c r="F43" s="24"/>
      <c r="G43" s="25"/>
    </row>
    <row r="44" spans="2:11">
      <c r="B44" s="18" t="s">
        <v>53</v>
      </c>
      <c r="C44" s="19">
        <v>1540</v>
      </c>
      <c r="D44" s="23">
        <v>4549895</v>
      </c>
      <c r="E44" s="24">
        <v>3736640</v>
      </c>
      <c r="F44" s="24"/>
      <c r="G44" s="25"/>
    </row>
    <row r="45" spans="2:11">
      <c r="B45" s="18" t="s">
        <v>54</v>
      </c>
      <c r="C45" s="19">
        <v>1550</v>
      </c>
      <c r="D45" s="26"/>
      <c r="E45" s="27"/>
      <c r="F45" s="27"/>
      <c r="G45" s="28"/>
    </row>
    <row r="46" spans="2:11">
      <c r="B46" s="29" t="s">
        <v>59</v>
      </c>
      <c r="C46" s="30">
        <v>1500</v>
      </c>
      <c r="D46" s="31">
        <f>SUM(D41:D45)</f>
        <v>621650061</v>
      </c>
      <c r="E46" s="31">
        <f t="shared" ref="E46" si="3">SUM(E41:E45)</f>
        <v>1065747514</v>
      </c>
      <c r="F46" s="31"/>
      <c r="G46" s="31"/>
    </row>
    <row r="47" spans="2:11">
      <c r="B47" s="34" t="s">
        <v>40</v>
      </c>
      <c r="C47" s="35">
        <v>1700</v>
      </c>
      <c r="D47" s="36">
        <f>SUM(D33,D39,D46)</f>
        <v>1728327562</v>
      </c>
      <c r="E47" s="36">
        <f>SUM(E33,E39,E46)</f>
        <v>2219228889</v>
      </c>
      <c r="F47" s="36"/>
      <c r="G47" s="36"/>
    </row>
    <row r="48" spans="2:11">
      <c r="D48" s="38"/>
      <c r="E48" s="38"/>
      <c r="F48" s="38"/>
      <c r="G48" s="38"/>
    </row>
    <row r="50" spans="1:11" s="8" customFormat="1" ht="18.75">
      <c r="A50" s="8" t="s">
        <v>60</v>
      </c>
      <c r="K50" s="1"/>
    </row>
    <row r="51" spans="1:11">
      <c r="F51" s="245" t="str">
        <f>"("&amp;Меню!$Q$4&amp;")"</f>
        <v>(тыс. руб.)</v>
      </c>
      <c r="G51" s="4"/>
    </row>
    <row r="52" spans="1:11">
      <c r="B52" s="9" t="s">
        <v>18</v>
      </c>
      <c r="C52" s="9" t="s">
        <v>19</v>
      </c>
      <c r="D52" s="9" t="str">
        <f>Меню!$N$7</f>
        <v>2020г.</v>
      </c>
      <c r="E52" s="9" t="str">
        <f>Меню!$N$6</f>
        <v>2019г.</v>
      </c>
      <c r="F52" s="9"/>
      <c r="G52" s="39"/>
    </row>
    <row r="53" spans="1:11" ht="18.75">
      <c r="B53" s="18" t="s">
        <v>61</v>
      </c>
      <c r="C53" s="19">
        <v>2110</v>
      </c>
      <c r="D53" s="23">
        <v>322811966</v>
      </c>
      <c r="E53" s="24">
        <v>444471354</v>
      </c>
      <c r="F53" s="25"/>
      <c r="G53" s="40"/>
      <c r="K53" s="8"/>
    </row>
    <row r="54" spans="1:11">
      <c r="B54" s="18" t="s">
        <v>62</v>
      </c>
      <c r="C54" s="19">
        <v>2120</v>
      </c>
      <c r="D54" s="23">
        <v>-15898779</v>
      </c>
      <c r="E54" s="24">
        <v>-19597694</v>
      </c>
      <c r="F54" s="25"/>
      <c r="G54" s="40"/>
    </row>
    <row r="55" spans="1:11">
      <c r="B55" s="29" t="s">
        <v>63</v>
      </c>
      <c r="C55" s="30">
        <v>2100</v>
      </c>
      <c r="D55" s="31">
        <v>306913187</v>
      </c>
      <c r="E55" s="31">
        <v>424873660</v>
      </c>
      <c r="F55" s="31"/>
      <c r="G55" s="41"/>
    </row>
    <row r="56" spans="1:11">
      <c r="B56" s="18" t="s">
        <v>64</v>
      </c>
      <c r="C56" s="19">
        <v>2210</v>
      </c>
      <c r="D56" s="23">
        <v>-647206</v>
      </c>
      <c r="E56" s="24">
        <v>-1420592</v>
      </c>
      <c r="F56" s="25"/>
      <c r="G56" s="40"/>
    </row>
    <row r="57" spans="1:11">
      <c r="B57" s="18" t="s">
        <v>65</v>
      </c>
      <c r="C57" s="19">
        <v>2220</v>
      </c>
      <c r="D57" s="23">
        <v>-30393000</v>
      </c>
      <c r="E57" s="24">
        <v>-29487161</v>
      </c>
      <c r="F57" s="25"/>
      <c r="G57" s="40"/>
    </row>
    <row r="58" spans="1:11">
      <c r="B58" s="29" t="s">
        <v>66</v>
      </c>
      <c r="C58" s="30">
        <v>2200</v>
      </c>
      <c r="D58" s="31">
        <f>SUM(D55:D57)</f>
        <v>275872981</v>
      </c>
      <c r="E58" s="31">
        <f t="shared" ref="E58" si="4">SUM(E55:E57)</f>
        <v>393965907</v>
      </c>
      <c r="F58" s="31"/>
      <c r="G58" s="41"/>
    </row>
    <row r="59" spans="1:11">
      <c r="B59" s="18" t="s">
        <v>67</v>
      </c>
      <c r="C59" s="19">
        <v>2310</v>
      </c>
      <c r="D59" s="42"/>
      <c r="E59" s="43"/>
      <c r="F59" s="44"/>
      <c r="G59" s="45"/>
    </row>
    <row r="60" spans="1:11">
      <c r="B60" s="18" t="s">
        <v>68</v>
      </c>
      <c r="C60" s="19">
        <v>2320</v>
      </c>
      <c r="D60" s="42">
        <v>28330694</v>
      </c>
      <c r="E60" s="43">
        <v>44000052</v>
      </c>
      <c r="F60" s="44"/>
      <c r="G60" s="45"/>
    </row>
    <row r="61" spans="1:11">
      <c r="B61" s="18" t="s">
        <v>69</v>
      </c>
      <c r="C61" s="19">
        <v>2330</v>
      </c>
      <c r="D61" s="42">
        <v>-46523449</v>
      </c>
      <c r="E61" s="43">
        <v>-55407910</v>
      </c>
      <c r="F61" s="44"/>
      <c r="G61" s="45"/>
    </row>
    <row r="62" spans="1:11">
      <c r="B62" s="18" t="s">
        <v>70</v>
      </c>
      <c r="C62" s="19">
        <v>2340</v>
      </c>
      <c r="D62" s="42">
        <v>5613604</v>
      </c>
      <c r="E62" s="43">
        <v>26487323</v>
      </c>
      <c r="F62" s="44"/>
      <c r="G62" s="45"/>
    </row>
    <row r="63" spans="1:11">
      <c r="B63" s="18" t="s">
        <v>71</v>
      </c>
      <c r="C63" s="19">
        <v>2350</v>
      </c>
      <c r="D63" s="42">
        <v>-68795041</v>
      </c>
      <c r="E63" s="43">
        <v>-4132444</v>
      </c>
      <c r="F63" s="44"/>
      <c r="G63" s="45"/>
    </row>
    <row r="64" spans="1:11">
      <c r="B64" s="29" t="s">
        <v>72</v>
      </c>
      <c r="C64" s="30">
        <v>2300</v>
      </c>
      <c r="D64" s="31">
        <f>SUM(D58:D63)</f>
        <v>194498789</v>
      </c>
      <c r="E64" s="31">
        <f t="shared" ref="E64" si="5">SUM(E58:E63)</f>
        <v>404912928</v>
      </c>
      <c r="F64" s="31"/>
      <c r="G64" s="41"/>
    </row>
    <row r="65" spans="2:7">
      <c r="B65" s="18" t="s">
        <v>73</v>
      </c>
      <c r="C65" s="19">
        <v>2410</v>
      </c>
      <c r="D65" s="47">
        <v>16169929</v>
      </c>
      <c r="E65" s="48">
        <v>-6263905</v>
      </c>
      <c r="F65" s="49"/>
      <c r="G65" s="45"/>
    </row>
    <row r="66" spans="2:7" ht="30">
      <c r="B66" s="18" t="s">
        <v>74</v>
      </c>
      <c r="C66" s="19">
        <v>2421</v>
      </c>
      <c r="D66" s="42"/>
      <c r="E66" s="43"/>
      <c r="F66" s="44"/>
      <c r="G66" s="45"/>
    </row>
    <row r="67" spans="2:7" ht="15" customHeight="1">
      <c r="B67" s="18" t="s">
        <v>75</v>
      </c>
      <c r="C67" s="19">
        <v>2430</v>
      </c>
      <c r="D67" s="42"/>
      <c r="E67" s="43"/>
      <c r="F67" s="44"/>
      <c r="G67" s="45"/>
    </row>
    <row r="68" spans="2:7">
      <c r="B68" s="18" t="s">
        <v>76</v>
      </c>
      <c r="C68" s="19">
        <v>2450</v>
      </c>
      <c r="D68" s="42"/>
      <c r="E68" s="43"/>
      <c r="F68" s="44"/>
      <c r="G68" s="45"/>
    </row>
    <row r="69" spans="2:7">
      <c r="B69" s="18" t="s">
        <v>77</v>
      </c>
      <c r="C69" s="19">
        <v>2460</v>
      </c>
      <c r="D69" s="50"/>
      <c r="E69" s="51"/>
      <c r="F69" s="52"/>
      <c r="G69" s="45"/>
    </row>
    <row r="70" spans="2:7">
      <c r="B70" s="53" t="s">
        <v>78</v>
      </c>
      <c r="C70" s="54">
        <v>2400</v>
      </c>
      <c r="D70" s="55">
        <v>197559111</v>
      </c>
      <c r="E70" s="55">
        <v>403070730</v>
      </c>
      <c r="F70" s="55"/>
      <c r="G70" s="56"/>
    </row>
    <row r="73" spans="2:7">
      <c r="D73" s="46"/>
    </row>
    <row r="74" spans="2:7">
      <c r="D74" s="37"/>
    </row>
    <row r="75" spans="2:7">
      <c r="D75" s="37"/>
    </row>
  </sheetData>
  <printOptions horizontalCentered="1"/>
  <pageMargins left="0.59055118110236227" right="0.19685039370078741" top="0.78740157480314965" bottom="0.39370078740157483" header="0.31496062992125984" footer="0.31496062992125984"/>
  <pageSetup paperSize="9" scale="83" fitToHeight="2" orientation="portrait" r:id="rId1"/>
  <rowBreaks count="1" manualBreakCount="1">
    <brk id="4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84"/>
  <sheetViews>
    <sheetView topLeftCell="A74" workbookViewId="0">
      <selection activeCell="B1" sqref="B1:D25"/>
    </sheetView>
  </sheetViews>
  <sheetFormatPr defaultRowHeight="15"/>
  <cols>
    <col min="1" max="1" width="1.7109375" style="1" customWidth="1"/>
    <col min="2" max="2" width="43.28515625" style="1" customWidth="1"/>
    <col min="3" max="3" width="34.42578125" style="1" customWidth="1"/>
    <col min="4" max="4" width="28" style="1" customWidth="1"/>
    <col min="5" max="5" width="1.7109375" style="1" customWidth="1"/>
    <col min="6" max="16384" width="9.140625" style="1"/>
  </cols>
  <sheetData>
    <row r="1" spans="1:4" s="8" customFormat="1" ht="18.75">
      <c r="A1" s="8" t="s">
        <v>131</v>
      </c>
    </row>
    <row r="3" spans="1:4">
      <c r="B3" s="65" t="s">
        <v>18</v>
      </c>
      <c r="C3" s="65" t="s">
        <v>132</v>
      </c>
      <c r="D3" s="65" t="s">
        <v>133</v>
      </c>
    </row>
    <row r="4" spans="1:4" s="161" customFormat="1" ht="15.75">
      <c r="B4" s="162" t="s">
        <v>173</v>
      </c>
      <c r="C4" s="163"/>
      <c r="D4" s="164"/>
    </row>
    <row r="5" spans="1:4" ht="24">
      <c r="B5" s="110" t="s">
        <v>157</v>
      </c>
      <c r="C5" s="159" t="s">
        <v>174</v>
      </c>
      <c r="D5" s="160" t="s">
        <v>158</v>
      </c>
    </row>
    <row r="6" spans="1:4" ht="30">
      <c r="B6" s="110" t="s">
        <v>175</v>
      </c>
      <c r="C6" s="159" t="s">
        <v>176</v>
      </c>
      <c r="D6" s="160" t="s">
        <v>164</v>
      </c>
    </row>
    <row r="7" spans="1:4" ht="24">
      <c r="B7" s="110" t="s">
        <v>160</v>
      </c>
      <c r="C7" s="159" t="s">
        <v>177</v>
      </c>
      <c r="D7" s="160" t="s">
        <v>161</v>
      </c>
    </row>
    <row r="8" spans="1:4">
      <c r="B8" s="110" t="s">
        <v>166</v>
      </c>
      <c r="C8" s="159" t="s">
        <v>178</v>
      </c>
      <c r="D8" s="160" t="s">
        <v>167</v>
      </c>
    </row>
    <row r="9" spans="1:4" ht="30">
      <c r="B9" s="110" t="s">
        <v>169</v>
      </c>
      <c r="C9" s="159" t="s">
        <v>179</v>
      </c>
      <c r="D9" s="160" t="s">
        <v>170</v>
      </c>
    </row>
    <row r="10" spans="1:4">
      <c r="B10" s="110" t="s">
        <v>172</v>
      </c>
      <c r="C10" s="159" t="s">
        <v>180</v>
      </c>
      <c r="D10" s="160" t="s">
        <v>153</v>
      </c>
    </row>
    <row r="11" spans="1:4" s="161" customFormat="1" ht="15.75">
      <c r="B11" s="195" t="s">
        <v>263</v>
      </c>
      <c r="C11" s="196"/>
      <c r="D11" s="196"/>
    </row>
    <row r="12" spans="1:4" ht="45">
      <c r="B12" s="165" t="s">
        <v>192</v>
      </c>
      <c r="C12" s="160" t="s">
        <v>193</v>
      </c>
      <c r="D12" s="160" t="s">
        <v>194</v>
      </c>
    </row>
    <row r="13" spans="1:4" ht="45">
      <c r="B13" s="165" t="s">
        <v>197</v>
      </c>
      <c r="C13" s="160" t="s">
        <v>196</v>
      </c>
      <c r="D13" s="160" t="s">
        <v>195</v>
      </c>
    </row>
    <row r="14" spans="1:4" ht="45">
      <c r="B14" s="165" t="s">
        <v>198</v>
      </c>
      <c r="C14" s="160" t="s">
        <v>199</v>
      </c>
      <c r="D14" s="160" t="s">
        <v>200</v>
      </c>
    </row>
    <row r="15" spans="1:4" ht="30">
      <c r="B15" s="165" t="s">
        <v>201</v>
      </c>
      <c r="C15" s="160" t="s">
        <v>202</v>
      </c>
      <c r="D15" s="160"/>
    </row>
    <row r="16" spans="1:4" ht="30">
      <c r="B16" s="165" t="s">
        <v>203</v>
      </c>
      <c r="C16" s="160" t="s">
        <v>204</v>
      </c>
      <c r="D16" s="160"/>
    </row>
    <row r="17" spans="2:4" ht="30">
      <c r="B17" s="165" t="s">
        <v>205</v>
      </c>
      <c r="C17" s="160" t="s">
        <v>207</v>
      </c>
      <c r="D17" s="160" t="s">
        <v>206</v>
      </c>
    </row>
    <row r="18" spans="2:4">
      <c r="B18" s="165" t="s">
        <v>151</v>
      </c>
      <c r="C18" s="160" t="s">
        <v>136</v>
      </c>
      <c r="D18" s="160" t="s">
        <v>137</v>
      </c>
    </row>
    <row r="19" spans="2:4" ht="30">
      <c r="B19" s="165" t="s">
        <v>191</v>
      </c>
      <c r="C19" s="160" t="s">
        <v>185</v>
      </c>
      <c r="D19" s="160" t="s">
        <v>154</v>
      </c>
    </row>
    <row r="20" spans="2:4" ht="45">
      <c r="B20" s="165" t="s">
        <v>209</v>
      </c>
      <c r="C20" s="160" t="s">
        <v>210</v>
      </c>
      <c r="D20" s="160" t="s">
        <v>211</v>
      </c>
    </row>
    <row r="21" spans="2:4" ht="30">
      <c r="B21" s="165" t="s">
        <v>152</v>
      </c>
      <c r="C21" s="160" t="s">
        <v>212</v>
      </c>
      <c r="D21" s="160" t="s">
        <v>153</v>
      </c>
    </row>
    <row r="22" spans="2:4" s="161" customFormat="1" ht="15.75">
      <c r="B22" s="195" t="s">
        <v>216</v>
      </c>
      <c r="C22" s="196"/>
      <c r="D22" s="196"/>
    </row>
    <row r="23" spans="2:4">
      <c r="B23" s="165" t="s">
        <v>184</v>
      </c>
      <c r="C23" s="160" t="s">
        <v>217</v>
      </c>
      <c r="D23" s="160" t="s">
        <v>200</v>
      </c>
    </row>
    <row r="24" spans="2:4" ht="45">
      <c r="B24" s="165" t="s">
        <v>186</v>
      </c>
      <c r="C24" s="160" t="s">
        <v>218</v>
      </c>
      <c r="D24" s="160"/>
    </row>
    <row r="25" spans="2:4" ht="30">
      <c r="B25" s="165" t="s">
        <v>215</v>
      </c>
      <c r="C25" s="160" t="s">
        <v>219</v>
      </c>
      <c r="D25" s="160" t="s">
        <v>150</v>
      </c>
    </row>
    <row r="26" spans="2:4" ht="45">
      <c r="B26" s="165" t="s">
        <v>162</v>
      </c>
      <c r="C26" s="160" t="s">
        <v>220</v>
      </c>
      <c r="D26" s="160" t="s">
        <v>148</v>
      </c>
    </row>
    <row r="27" spans="2:4" ht="15.75">
      <c r="B27" s="195" t="s">
        <v>221</v>
      </c>
      <c r="C27" s="196"/>
      <c r="D27" s="196"/>
    </row>
    <row r="28" spans="2:4" ht="30">
      <c r="B28" s="165" t="s">
        <v>222</v>
      </c>
      <c r="C28" s="160" t="s">
        <v>224</v>
      </c>
      <c r="D28" s="160" t="s">
        <v>167</v>
      </c>
    </row>
    <row r="29" spans="2:4" ht="30">
      <c r="B29" s="165" t="s">
        <v>222</v>
      </c>
      <c r="C29" s="160" t="s">
        <v>223</v>
      </c>
      <c r="D29" s="160" t="s">
        <v>206</v>
      </c>
    </row>
    <row r="30" spans="2:4" ht="30">
      <c r="B30" s="165" t="s">
        <v>226</v>
      </c>
      <c r="C30" s="160" t="s">
        <v>227</v>
      </c>
      <c r="D30" s="160" t="s">
        <v>231</v>
      </c>
    </row>
    <row r="31" spans="2:4" ht="30">
      <c r="B31" s="165" t="s">
        <v>228</v>
      </c>
      <c r="C31" s="160" t="s">
        <v>229</v>
      </c>
      <c r="D31" s="160" t="s">
        <v>230</v>
      </c>
    </row>
    <row r="32" spans="2:4">
      <c r="B32" s="165" t="s">
        <v>292</v>
      </c>
      <c r="C32" s="160" t="s">
        <v>297</v>
      </c>
      <c r="D32" s="160"/>
    </row>
    <row r="33" spans="2:4" ht="30">
      <c r="B33" s="165" t="s">
        <v>293</v>
      </c>
      <c r="C33" s="160" t="s">
        <v>294</v>
      </c>
      <c r="D33" s="160" t="s">
        <v>170</v>
      </c>
    </row>
    <row r="34" spans="2:4" ht="45">
      <c r="B34" s="165" t="s">
        <v>295</v>
      </c>
      <c r="C34" s="160" t="s">
        <v>296</v>
      </c>
      <c r="D34" s="160"/>
    </row>
    <row r="35" spans="2:4" ht="15.75">
      <c r="B35" s="195" t="s">
        <v>248</v>
      </c>
      <c r="C35" s="196"/>
      <c r="D35" s="196"/>
    </row>
    <row r="36" spans="2:4" ht="30">
      <c r="B36" s="165" t="s">
        <v>182</v>
      </c>
      <c r="C36" s="160" t="s">
        <v>249</v>
      </c>
      <c r="D36" s="160" t="s">
        <v>259</v>
      </c>
    </row>
    <row r="37" spans="2:4" ht="30">
      <c r="B37" s="165" t="s">
        <v>250</v>
      </c>
      <c r="C37" s="160" t="s">
        <v>252</v>
      </c>
      <c r="D37" s="160" t="s">
        <v>251</v>
      </c>
    </row>
    <row r="38" spans="2:4" ht="45">
      <c r="B38" s="165" t="s">
        <v>253</v>
      </c>
      <c r="C38" s="160" t="s">
        <v>254</v>
      </c>
      <c r="D38" s="160" t="s">
        <v>154</v>
      </c>
    </row>
    <row r="39" spans="2:4" ht="45">
      <c r="B39" s="165" t="s">
        <v>255</v>
      </c>
      <c r="C39" s="160" t="s">
        <v>257</v>
      </c>
      <c r="D39" s="160" t="s">
        <v>256</v>
      </c>
    </row>
    <row r="40" spans="2:4" ht="30">
      <c r="B40" s="165" t="s">
        <v>258</v>
      </c>
      <c r="C40" s="160" t="s">
        <v>260</v>
      </c>
      <c r="D40" s="160"/>
    </row>
    <row r="41" spans="2:4" ht="15.75">
      <c r="B41" s="195" t="s">
        <v>261</v>
      </c>
      <c r="C41" s="196"/>
      <c r="D41" s="196"/>
    </row>
    <row r="42" spans="2:4" ht="30">
      <c r="B42" s="165" t="s">
        <v>188</v>
      </c>
      <c r="C42" s="160" t="s">
        <v>189</v>
      </c>
      <c r="D42" s="160" t="s">
        <v>190</v>
      </c>
    </row>
    <row r="43" spans="2:4" ht="45">
      <c r="B43" s="165" t="s">
        <v>377</v>
      </c>
      <c r="C43" s="160" t="s">
        <v>181</v>
      </c>
      <c r="D43" s="160" t="s">
        <v>148</v>
      </c>
    </row>
    <row r="44" spans="2:4">
      <c r="B44" s="165" t="s">
        <v>262</v>
      </c>
      <c r="C44" s="160" t="s">
        <v>136</v>
      </c>
      <c r="D44" s="160" t="s">
        <v>264</v>
      </c>
    </row>
    <row r="45" spans="2:4" ht="30">
      <c r="B45" s="135" t="s">
        <v>152</v>
      </c>
      <c r="C45" s="160" t="s">
        <v>265</v>
      </c>
      <c r="D45" s="160" t="s">
        <v>256</v>
      </c>
    </row>
    <row r="46" spans="2:4">
      <c r="B46" s="165" t="s">
        <v>208</v>
      </c>
      <c r="C46" s="160" t="s">
        <v>266</v>
      </c>
      <c r="D46" s="160" t="s">
        <v>230</v>
      </c>
    </row>
    <row r="47" spans="2:4" ht="15.75">
      <c r="B47" s="195" t="s">
        <v>285</v>
      </c>
      <c r="C47" s="196"/>
      <c r="D47" s="196"/>
    </row>
    <row r="48" spans="2:4">
      <c r="B48" s="165" t="s">
        <v>112</v>
      </c>
      <c r="C48" s="160" t="s">
        <v>136</v>
      </c>
      <c r="D48" s="160" t="s">
        <v>137</v>
      </c>
    </row>
    <row r="49" spans="2:4" ht="45">
      <c r="B49" s="165" t="s">
        <v>278</v>
      </c>
      <c r="C49" s="160" t="s">
        <v>138</v>
      </c>
      <c r="D49" s="160" t="s">
        <v>279</v>
      </c>
    </row>
    <row r="50" spans="2:4" ht="30">
      <c r="B50" s="165" t="s">
        <v>156</v>
      </c>
      <c r="C50" s="160" t="s">
        <v>187</v>
      </c>
      <c r="D50" s="160"/>
    </row>
    <row r="51" spans="2:4" ht="30">
      <c r="B51" s="165" t="s">
        <v>130</v>
      </c>
      <c r="C51" s="160" t="s">
        <v>135</v>
      </c>
      <c r="D51" s="160" t="s">
        <v>134</v>
      </c>
    </row>
    <row r="52" spans="2:4">
      <c r="B52" s="165" t="s">
        <v>280</v>
      </c>
      <c r="C52" s="160" t="s">
        <v>281</v>
      </c>
      <c r="D52" s="160"/>
    </row>
    <row r="53" spans="2:4" ht="30">
      <c r="B53" s="165" t="s">
        <v>282</v>
      </c>
      <c r="C53" s="160" t="s">
        <v>183</v>
      </c>
      <c r="D53" s="160" t="s">
        <v>167</v>
      </c>
    </row>
    <row r="54" spans="2:4" ht="30">
      <c r="B54" s="165" t="s">
        <v>283</v>
      </c>
      <c r="C54" s="160" t="s">
        <v>284</v>
      </c>
      <c r="D54" s="160"/>
    </row>
    <row r="55" spans="2:4" ht="15.75">
      <c r="B55" s="195" t="s">
        <v>302</v>
      </c>
      <c r="C55" s="196"/>
      <c r="D55" s="196"/>
    </row>
    <row r="56" spans="2:4" ht="45">
      <c r="B56" s="165" t="s">
        <v>303</v>
      </c>
      <c r="C56" s="160" t="s">
        <v>304</v>
      </c>
      <c r="D56" s="160"/>
    </row>
    <row r="57" spans="2:4" ht="30">
      <c r="B57" s="165" t="s">
        <v>305</v>
      </c>
      <c r="C57" s="160" t="s">
        <v>306</v>
      </c>
      <c r="D57" s="160"/>
    </row>
    <row r="58" spans="2:4" ht="30">
      <c r="B58" s="165" t="s">
        <v>307</v>
      </c>
      <c r="C58" s="160" t="s">
        <v>308</v>
      </c>
      <c r="D58" s="160"/>
    </row>
    <row r="59" spans="2:4" ht="30">
      <c r="B59" s="165" t="s">
        <v>299</v>
      </c>
      <c r="C59" s="160" t="s">
        <v>309</v>
      </c>
      <c r="D59" s="160"/>
    </row>
    <row r="60" spans="2:4" ht="45">
      <c r="B60" s="165" t="s">
        <v>310</v>
      </c>
      <c r="C60" s="160" t="s">
        <v>311</v>
      </c>
      <c r="D60" s="160"/>
    </row>
    <row r="61" spans="2:4" ht="45">
      <c r="B61" s="165" t="s">
        <v>300</v>
      </c>
      <c r="C61" s="160" t="s">
        <v>312</v>
      </c>
      <c r="D61" s="160"/>
    </row>
    <row r="62" spans="2:4" ht="30">
      <c r="B62" s="165" t="s">
        <v>313</v>
      </c>
      <c r="C62" s="160" t="s">
        <v>314</v>
      </c>
      <c r="D62" s="160"/>
    </row>
    <row r="63" spans="2:4" ht="30">
      <c r="B63" s="165" t="s">
        <v>315</v>
      </c>
      <c r="C63" s="160" t="s">
        <v>316</v>
      </c>
      <c r="D63" s="160"/>
    </row>
    <row r="64" spans="2:4" ht="45">
      <c r="B64" s="165" t="s">
        <v>317</v>
      </c>
      <c r="C64" s="160" t="s">
        <v>318</v>
      </c>
      <c r="D64" s="160"/>
    </row>
    <row r="65" spans="2:4" ht="30">
      <c r="B65" s="165" t="s">
        <v>301</v>
      </c>
      <c r="C65" s="160" t="s">
        <v>319</v>
      </c>
      <c r="D65" s="160"/>
    </row>
    <row r="66" spans="2:4" ht="30">
      <c r="B66" s="165" t="s">
        <v>320</v>
      </c>
      <c r="C66" s="160" t="s">
        <v>328</v>
      </c>
      <c r="D66" s="160" t="str">
        <f t="shared" ref="D66:D67" si="0">IFERROR(360/D56,"")</f>
        <v/>
      </c>
    </row>
    <row r="67" spans="2:4">
      <c r="B67" s="165" t="s">
        <v>321</v>
      </c>
      <c r="C67" s="160" t="s">
        <v>329</v>
      </c>
      <c r="D67" s="160" t="str">
        <f t="shared" si="0"/>
        <v/>
      </c>
    </row>
    <row r="68" spans="2:4" ht="30">
      <c r="B68" s="165" t="s">
        <v>322</v>
      </c>
      <c r="C68" s="160" t="s">
        <v>330</v>
      </c>
      <c r="D68" s="160" t="str">
        <f t="shared" ref="D68:D74" si="1">IFERROR(360/D59,"")</f>
        <v/>
      </c>
    </row>
    <row r="69" spans="2:4" ht="30">
      <c r="B69" s="165" t="s">
        <v>323</v>
      </c>
      <c r="C69" s="160" t="s">
        <v>331</v>
      </c>
      <c r="D69" s="160" t="str">
        <f t="shared" si="1"/>
        <v/>
      </c>
    </row>
    <row r="70" spans="2:4">
      <c r="B70" s="165" t="s">
        <v>324</v>
      </c>
      <c r="C70" s="160" t="s">
        <v>332</v>
      </c>
      <c r="D70" s="160" t="str">
        <f t="shared" si="1"/>
        <v/>
      </c>
    </row>
    <row r="71" spans="2:4" ht="30">
      <c r="B71" s="165" t="s">
        <v>325</v>
      </c>
      <c r="C71" s="160" t="s">
        <v>333</v>
      </c>
      <c r="D71" s="160" t="str">
        <f t="shared" si="1"/>
        <v/>
      </c>
    </row>
    <row r="72" spans="2:4" ht="30">
      <c r="B72" s="165" t="s">
        <v>326</v>
      </c>
      <c r="C72" s="160" t="s">
        <v>334</v>
      </c>
      <c r="D72" s="160" t="str">
        <f t="shared" si="1"/>
        <v/>
      </c>
    </row>
    <row r="73" spans="2:4" ht="30">
      <c r="B73" s="165" t="s">
        <v>327</v>
      </c>
      <c r="C73" s="160" t="s">
        <v>337</v>
      </c>
      <c r="D73" s="160" t="str">
        <f t="shared" si="1"/>
        <v/>
      </c>
    </row>
    <row r="74" spans="2:4">
      <c r="B74" s="165" t="s">
        <v>335</v>
      </c>
      <c r="C74" s="160" t="s">
        <v>336</v>
      </c>
      <c r="D74" s="160" t="str">
        <f t="shared" si="1"/>
        <v/>
      </c>
    </row>
    <row r="75" spans="2:4" ht="15.75">
      <c r="B75" s="195" t="s">
        <v>371</v>
      </c>
      <c r="C75" s="196"/>
      <c r="D75" s="196"/>
    </row>
    <row r="76" spans="2:4">
      <c r="B76" s="165" t="s">
        <v>262</v>
      </c>
      <c r="C76" s="160" t="s">
        <v>136</v>
      </c>
      <c r="D76" s="160" t="s">
        <v>259</v>
      </c>
    </row>
    <row r="77" spans="2:4" ht="30">
      <c r="B77" s="165" t="s">
        <v>208</v>
      </c>
      <c r="C77" s="160" t="s">
        <v>185</v>
      </c>
      <c r="D77" s="160" t="s">
        <v>372</v>
      </c>
    </row>
    <row r="78" spans="2:4">
      <c r="B78" s="165" t="s">
        <v>275</v>
      </c>
      <c r="C78" s="160" t="s">
        <v>189</v>
      </c>
      <c r="D78" s="160" t="s">
        <v>190</v>
      </c>
    </row>
    <row r="79" spans="2:4" ht="30">
      <c r="B79" s="165" t="s">
        <v>373</v>
      </c>
      <c r="C79" s="160" t="s">
        <v>375</v>
      </c>
      <c r="D79" s="160" t="s">
        <v>374</v>
      </c>
    </row>
    <row r="80" spans="2:4" ht="45">
      <c r="B80" s="165" t="s">
        <v>376</v>
      </c>
      <c r="C80" s="160" t="s">
        <v>381</v>
      </c>
      <c r="D80" s="160" t="s">
        <v>372</v>
      </c>
    </row>
    <row r="81" spans="2:4" ht="30">
      <c r="B81" s="165" t="s">
        <v>378</v>
      </c>
      <c r="C81" s="160" t="s">
        <v>382</v>
      </c>
      <c r="D81" s="160" t="s">
        <v>372</v>
      </c>
    </row>
    <row r="82" spans="2:4" ht="30">
      <c r="B82" s="165" t="s">
        <v>379</v>
      </c>
      <c r="C82" s="160" t="s">
        <v>383</v>
      </c>
      <c r="D82" s="160" t="s">
        <v>150</v>
      </c>
    </row>
    <row r="83" spans="2:4" ht="30">
      <c r="B83" s="165" t="s">
        <v>198</v>
      </c>
      <c r="C83" s="160" t="s">
        <v>183</v>
      </c>
      <c r="D83" s="160" t="s">
        <v>147</v>
      </c>
    </row>
    <row r="84" spans="2:4">
      <c r="B84" s="165" t="s">
        <v>201</v>
      </c>
      <c r="C84" s="160" t="s">
        <v>380</v>
      </c>
      <c r="D84" s="160"/>
    </row>
  </sheetData>
  <sortState ref="B15:D42">
    <sortCondition ref="B15:B42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1"/>
  <sheetViews>
    <sheetView topLeftCell="A64" zoomScaleNormal="100" zoomScaleSheetLayoutView="100" workbookViewId="0">
      <selection activeCell="A73" sqref="A73:XFD74"/>
    </sheetView>
  </sheetViews>
  <sheetFormatPr defaultRowHeight="15"/>
  <cols>
    <col min="1" max="1" width="1.7109375" style="1" customWidth="1"/>
    <col min="2" max="2" width="36.85546875" style="1" customWidth="1"/>
    <col min="3" max="4" width="12.7109375" style="1" customWidth="1"/>
    <col min="5" max="6" width="10.7109375" style="1" customWidth="1"/>
    <col min="7" max="7" width="14.42578125" style="1" customWidth="1"/>
    <col min="8" max="9" width="10.7109375" style="1" customWidth="1"/>
    <col min="10" max="10" width="1.7109375" style="1" customWidth="1"/>
    <col min="11" max="16384" width="9.140625" style="1"/>
  </cols>
  <sheetData>
    <row r="1" spans="1:9" s="8" customFormat="1" ht="18.75">
      <c r="A1" s="8" t="str">
        <f>"Анализ структуры бухгалтерского баланса предприятия за "&amp;Меню!$N$7</f>
        <v>Анализ структуры бухгалтерского баланса предприятия за 2020г.</v>
      </c>
    </row>
    <row r="3" spans="1:9" s="66" customFormat="1" ht="15.75">
      <c r="A3" s="66" t="s">
        <v>121</v>
      </c>
    </row>
    <row r="4" spans="1:9" ht="45">
      <c r="B4" s="97" t="s">
        <v>122</v>
      </c>
      <c r="C4" s="97" t="str">
        <f>"Отченый период, "&amp;Меню!$N$7</f>
        <v>Отченый период, 2020г.</v>
      </c>
      <c r="D4" s="97" t="str">
        <f>"Базисный период, "&amp;Меню!$N$6</f>
        <v>Базисный период, 2019г.</v>
      </c>
      <c r="E4" s="98" t="s">
        <v>125</v>
      </c>
    </row>
    <row r="5" spans="1:9" ht="30">
      <c r="B5" s="99" t="s">
        <v>126</v>
      </c>
      <c r="C5" s="59" t="e">
        <f>#REF!</f>
        <v>#REF!</v>
      </c>
      <c r="D5" s="59" t="e">
        <f>#REF!</f>
        <v>#REF!</v>
      </c>
      <c r="E5" s="102" t="e">
        <f>(C5-D5)/D5</f>
        <v>#REF!</v>
      </c>
    </row>
    <row r="6" spans="1:9">
      <c r="B6" s="100" t="s">
        <v>127</v>
      </c>
      <c r="C6" s="60">
        <f>Баланс!D53</f>
        <v>322811966</v>
      </c>
      <c r="D6" s="60">
        <f>Баланс!E53</f>
        <v>444471354</v>
      </c>
      <c r="E6" s="103">
        <f t="shared" ref="E6:E7" si="0">(C6-D6)/D6</f>
        <v>-0.27371705039060851</v>
      </c>
    </row>
    <row r="7" spans="1:9">
      <c r="B7" s="101" t="s">
        <v>128</v>
      </c>
      <c r="C7" s="104">
        <f>Баланс!D70</f>
        <v>197559111</v>
      </c>
      <c r="D7" s="104">
        <f>Баланс!E70</f>
        <v>403070730</v>
      </c>
      <c r="E7" s="105">
        <f t="shared" si="0"/>
        <v>-0.50986490385942929</v>
      </c>
    </row>
    <row r="8" spans="1:9" s="106" customFormat="1" ht="12.75"/>
    <row r="9" spans="1:9" s="107" customFormat="1" ht="15" customHeight="1"/>
    <row r="10" spans="1:9" s="66" customFormat="1" ht="15.75">
      <c r="A10" s="66" t="s">
        <v>81</v>
      </c>
    </row>
    <row r="11" spans="1:9" ht="30" customHeight="1">
      <c r="B11" s="275" t="s">
        <v>82</v>
      </c>
      <c r="C11" s="277" t="str">
        <f>"Абсолютное изменение, "&amp;Меню!$Q$4</f>
        <v>Абсолютное изменение, тыс. руб.</v>
      </c>
      <c r="D11" s="278"/>
      <c r="E11" s="277" t="s">
        <v>83</v>
      </c>
      <c r="F11" s="278"/>
      <c r="G11" s="277" t="s">
        <v>84</v>
      </c>
      <c r="H11" s="279"/>
      <c r="I11" s="278"/>
    </row>
    <row r="12" spans="1:9" ht="48">
      <c r="B12" s="276"/>
      <c r="C12" s="67" t="s">
        <v>123</v>
      </c>
      <c r="D12" s="68" t="s">
        <v>124</v>
      </c>
      <c r="E12" s="68" t="s">
        <v>85</v>
      </c>
      <c r="F12" s="68" t="s">
        <v>86</v>
      </c>
      <c r="G12" s="68" t="s">
        <v>87</v>
      </c>
      <c r="H12" s="68" t="s">
        <v>88</v>
      </c>
      <c r="I12" s="68" t="s">
        <v>89</v>
      </c>
    </row>
    <row r="13" spans="1:9">
      <c r="B13" s="69" t="s">
        <v>90</v>
      </c>
      <c r="C13" s="59">
        <f>C26</f>
        <v>1518399435</v>
      </c>
      <c r="D13" s="59">
        <f>D26</f>
        <v>1385958997</v>
      </c>
      <c r="E13" s="70">
        <f>IFERROR(C13/C$15,"")</f>
        <v>0.68420136495438344</v>
      </c>
      <c r="F13" s="70">
        <f t="shared" ref="F13:F15" si="1">IFERROR(D13/D$15,"")</f>
        <v>0.80190759406520418</v>
      </c>
      <c r="G13" s="71">
        <f>D13-C13</f>
        <v>-132440438</v>
      </c>
      <c r="H13" s="72">
        <f>IFERROR(F13-E13,"")</f>
        <v>0.11770622911082074</v>
      </c>
      <c r="I13" s="73">
        <f t="shared" ref="I13:I15" si="2">IFERROR(G13/G$15,"")</f>
        <v>0.26979034424162396</v>
      </c>
    </row>
    <row r="14" spans="1:9">
      <c r="B14" s="74" t="s">
        <v>91</v>
      </c>
      <c r="C14" s="60">
        <f>C36</f>
        <v>700829454</v>
      </c>
      <c r="D14" s="60">
        <f>D36</f>
        <v>342368565</v>
      </c>
      <c r="E14" s="75">
        <f t="shared" ref="E14:E15" si="3">IFERROR(C14/C$15,"")</f>
        <v>0.3157986350456165</v>
      </c>
      <c r="F14" s="75">
        <f t="shared" si="1"/>
        <v>0.19809240593479582</v>
      </c>
      <c r="G14" s="76">
        <f t="shared" ref="G14" si="4">D14-C14</f>
        <v>-358460889</v>
      </c>
      <c r="H14" s="63">
        <f t="shared" ref="H14" si="5">IFERROR(F14-E14,"")</f>
        <v>-0.11770622911082068</v>
      </c>
      <c r="I14" s="64">
        <f t="shared" si="2"/>
        <v>0.73020965575837604</v>
      </c>
    </row>
    <row r="15" spans="1:9">
      <c r="B15" s="77" t="s">
        <v>92</v>
      </c>
      <c r="C15" s="78">
        <f>SUM(C13:C14)</f>
        <v>2219228889</v>
      </c>
      <c r="D15" s="78">
        <f>SUM(D13:D14)</f>
        <v>1728327562</v>
      </c>
      <c r="E15" s="79">
        <f t="shared" si="3"/>
        <v>1</v>
      </c>
      <c r="F15" s="79">
        <f t="shared" si="1"/>
        <v>1</v>
      </c>
      <c r="G15" s="78">
        <f>SUM(G13:G14)</f>
        <v>-490901327</v>
      </c>
      <c r="H15" s="80"/>
      <c r="I15" s="81">
        <f t="shared" si="2"/>
        <v>1</v>
      </c>
    </row>
    <row r="16" spans="1:9" ht="30">
      <c r="B16" s="69" t="s">
        <v>93</v>
      </c>
      <c r="C16" s="111">
        <f>IFERROR(C14/C13,"")</f>
        <v>0.46155803133580592</v>
      </c>
      <c r="D16" s="111">
        <f>IFERROR(D14/D13,"")</f>
        <v>0.24702647462232247</v>
      </c>
      <c r="E16" s="112"/>
      <c r="F16" s="113"/>
      <c r="G16" s="114"/>
      <c r="H16" s="115"/>
      <c r="I16" s="116"/>
    </row>
    <row r="17" spans="1:9" ht="30">
      <c r="B17" s="82" t="s">
        <v>130</v>
      </c>
      <c r="C17" s="83">
        <f>(Баланс!E10+Баланс!E17+Баланс!E18)/Баланс!E24</f>
        <v>6.7674885066801235E-3</v>
      </c>
      <c r="D17" s="83">
        <f>(Баланс!D10+Баланс!D17+Баланс!D18)/Баланс!D24</f>
        <v>9.1016676154817931E-3</v>
      </c>
      <c r="E17" s="117"/>
      <c r="F17" s="118"/>
      <c r="G17" s="119"/>
      <c r="H17" s="120"/>
      <c r="I17" s="121"/>
    </row>
    <row r="19" spans="1:9" s="66" customFormat="1" ht="15.75">
      <c r="A19" s="66" t="s">
        <v>94</v>
      </c>
    </row>
    <row r="20" spans="1:9" ht="30" customHeight="1">
      <c r="B20" s="275" t="s">
        <v>82</v>
      </c>
      <c r="C20" s="277" t="str">
        <f>"Абсолютное изменение, "&amp;Меню!$Q$4</f>
        <v>Абсолютное изменение, тыс. руб.</v>
      </c>
      <c r="D20" s="278"/>
      <c r="E20" s="277" t="s">
        <v>83</v>
      </c>
      <c r="F20" s="278"/>
      <c r="G20" s="277" t="s">
        <v>84</v>
      </c>
      <c r="H20" s="279"/>
      <c r="I20" s="278"/>
    </row>
    <row r="21" spans="1:9" ht="48">
      <c r="B21" s="276"/>
      <c r="C21" s="67" t="s">
        <v>85</v>
      </c>
      <c r="D21" s="68" t="s">
        <v>86</v>
      </c>
      <c r="E21" s="68" t="s">
        <v>85</v>
      </c>
      <c r="F21" s="68" t="s">
        <v>86</v>
      </c>
      <c r="G21" s="68" t="s">
        <v>87</v>
      </c>
      <c r="H21" s="68" t="s">
        <v>88</v>
      </c>
      <c r="I21" s="68" t="s">
        <v>89</v>
      </c>
    </row>
    <row r="22" spans="1:9">
      <c r="B22" s="69" t="s">
        <v>22</v>
      </c>
      <c r="C22" s="59">
        <f>Баланс!E6+Баланс!E7</f>
        <v>1731120</v>
      </c>
      <c r="D22" s="59">
        <f>Баланс!D6+Баланс!D7</f>
        <v>2375749</v>
      </c>
      <c r="E22" s="70">
        <f t="shared" ref="E22:F26" si="6">IFERROR(C22/C$26,"")</f>
        <v>1.1400952609021487E-3</v>
      </c>
      <c r="F22" s="70">
        <f t="shared" si="6"/>
        <v>1.7141553286514723E-3</v>
      </c>
      <c r="G22" s="71">
        <f>D22-C22</f>
        <v>644629</v>
      </c>
      <c r="H22" s="72">
        <f t="shared" ref="H22:H25" si="7">IFERROR(F22-E22,"")</f>
        <v>5.7406006774932366E-4</v>
      </c>
      <c r="I22" s="73">
        <f>IFERROR(G22/G$26,"")</f>
        <v>-4.8673125046596417E-3</v>
      </c>
    </row>
    <row r="23" spans="1:9">
      <c r="B23" s="74" t="s">
        <v>26</v>
      </c>
      <c r="C23" s="60">
        <f>Баланс!E10</f>
        <v>14591821</v>
      </c>
      <c r="D23" s="60">
        <f>Баланс!D10</f>
        <v>15440798</v>
      </c>
      <c r="E23" s="75">
        <f t="shared" si="6"/>
        <v>9.6100016001388986E-3</v>
      </c>
      <c r="F23" s="75">
        <f t="shared" si="6"/>
        <v>1.1140876485828679E-2</v>
      </c>
      <c r="G23" s="76">
        <f t="shared" ref="G23:G25" si="8">D23-C23</f>
        <v>848977</v>
      </c>
      <c r="H23" s="63">
        <f t="shared" si="7"/>
        <v>1.53087488568978E-3</v>
      </c>
      <c r="I23" s="64">
        <f>IFERROR(G23/G$26,"")</f>
        <v>-6.4102551518290807E-3</v>
      </c>
    </row>
    <row r="24" spans="1:9">
      <c r="B24" s="74" t="s">
        <v>95</v>
      </c>
      <c r="C24" s="60">
        <f>Баланс!E11+Баланс!E12</f>
        <v>1490310179</v>
      </c>
      <c r="D24" s="60">
        <f>Баланс!D11+Баланс!D12</f>
        <v>1352027698</v>
      </c>
      <c r="E24" s="75">
        <f t="shared" si="6"/>
        <v>0.98150074654104436</v>
      </c>
      <c r="F24" s="75">
        <f t="shared" si="6"/>
        <v>0.97551781901669055</v>
      </c>
      <c r="G24" s="76">
        <f t="shared" si="8"/>
        <v>-138282481</v>
      </c>
      <c r="H24" s="63">
        <f t="shared" si="7"/>
        <v>-5.9829275243538094E-3</v>
      </c>
      <c r="I24" s="64">
        <f>IFERROR(G24/G$26,"")</f>
        <v>1.0441107194163763</v>
      </c>
    </row>
    <row r="25" spans="1:9">
      <c r="B25" s="74" t="s">
        <v>30</v>
      </c>
      <c r="C25" s="60">
        <f>Баланс!E8+Баланс!E9+Баланс!E13+Баланс!E14</f>
        <v>11766315</v>
      </c>
      <c r="D25" s="60">
        <f>Баланс!D8+Баланс!D9+Баланс!D13+Баланс!D14</f>
        <v>16114752</v>
      </c>
      <c r="E25" s="75">
        <f t="shared" si="6"/>
        <v>7.7491565979145669E-3</v>
      </c>
      <c r="F25" s="75">
        <f t="shared" si="6"/>
        <v>1.1627149168829272E-2</v>
      </c>
      <c r="G25" s="76">
        <f t="shared" si="8"/>
        <v>4348437</v>
      </c>
      <c r="H25" s="63">
        <f t="shared" si="7"/>
        <v>3.8779925709147046E-3</v>
      </c>
      <c r="I25" s="64">
        <f>IFERROR(G25/G$26,"")</f>
        <v>-3.2833151759887713E-2</v>
      </c>
    </row>
    <row r="26" spans="1:9">
      <c r="B26" s="77" t="s">
        <v>96</v>
      </c>
      <c r="C26" s="78">
        <f>SUM(C22:C25)</f>
        <v>1518399435</v>
      </c>
      <c r="D26" s="78">
        <f>SUM(D22:D25)</f>
        <v>1385958997</v>
      </c>
      <c r="E26" s="79">
        <f t="shared" si="6"/>
        <v>1</v>
      </c>
      <c r="F26" s="79">
        <f t="shared" si="6"/>
        <v>1</v>
      </c>
      <c r="G26" s="78">
        <f>SUM(G22:G25)</f>
        <v>-132440438</v>
      </c>
      <c r="H26" s="80"/>
      <c r="I26" s="81">
        <f>IFERROR(G26/G$26,"")</f>
        <v>1</v>
      </c>
    </row>
    <row r="28" spans="1:9" s="66" customFormat="1" ht="15.75">
      <c r="A28" s="66" t="s">
        <v>97</v>
      </c>
    </row>
    <row r="29" spans="1:9" ht="30" customHeight="1">
      <c r="B29" s="275" t="s">
        <v>82</v>
      </c>
      <c r="C29" s="277" t="str">
        <f>"Абсолютное изменение, "&amp;Меню!$Q$4</f>
        <v>Абсолютное изменение, тыс. руб.</v>
      </c>
      <c r="D29" s="278"/>
      <c r="E29" s="277" t="s">
        <v>83</v>
      </c>
      <c r="F29" s="278"/>
      <c r="G29" s="277" t="s">
        <v>84</v>
      </c>
      <c r="H29" s="279"/>
      <c r="I29" s="278"/>
    </row>
    <row r="30" spans="1:9" ht="48">
      <c r="B30" s="276"/>
      <c r="C30" s="67" t="s">
        <v>85</v>
      </c>
      <c r="D30" s="68" t="s">
        <v>86</v>
      </c>
      <c r="E30" s="68" t="s">
        <v>85</v>
      </c>
      <c r="F30" s="68" t="s">
        <v>86</v>
      </c>
      <c r="G30" s="68" t="s">
        <v>87</v>
      </c>
      <c r="H30" s="68" t="s">
        <v>88</v>
      </c>
      <c r="I30" s="68" t="s">
        <v>89</v>
      </c>
    </row>
    <row r="31" spans="1:9">
      <c r="B31" s="69" t="s">
        <v>129</v>
      </c>
      <c r="C31" s="59">
        <f>Баланс!E17+Баланс!E18</f>
        <v>426785</v>
      </c>
      <c r="D31" s="59">
        <f>Баланс!D17+Баланс!D18</f>
        <v>289865</v>
      </c>
      <c r="E31" s="70">
        <f t="shared" ref="E31:F36" si="9">IFERROR(C31/C$36,"")</f>
        <v>6.0897126621050951E-4</v>
      </c>
      <c r="F31" s="70">
        <f t="shared" si="9"/>
        <v>8.4664606985749408E-4</v>
      </c>
      <c r="G31" s="71">
        <f>D31-C31</f>
        <v>-136920</v>
      </c>
      <c r="H31" s="72">
        <f t="shared" ref="H31:H35" si="10">IFERROR(F31-E31,"")</f>
        <v>2.3767480364698457E-4</v>
      </c>
      <c r="I31" s="73">
        <f t="shared" ref="I31:I36" si="11">IFERROR(G31/G$36,"")</f>
        <v>3.8196635728368123E-4</v>
      </c>
    </row>
    <row r="32" spans="1:9">
      <c r="B32" s="74" t="s">
        <v>35</v>
      </c>
      <c r="C32" s="60">
        <f>Баланс!E19</f>
        <v>398369475</v>
      </c>
      <c r="D32" s="60">
        <f>Баланс!D19</f>
        <v>218440775</v>
      </c>
      <c r="E32" s="75">
        <f t="shared" si="9"/>
        <v>0.56842570289575756</v>
      </c>
      <c r="F32" s="75">
        <f t="shared" si="9"/>
        <v>0.63802812913037155</v>
      </c>
      <c r="G32" s="76">
        <f t="shared" ref="G32:G35" si="12">D32-C32</f>
        <v>-179928700</v>
      </c>
      <c r="H32" s="63">
        <f t="shared" si="10"/>
        <v>6.960242623461399E-2</v>
      </c>
      <c r="I32" s="64">
        <f t="shared" si="11"/>
        <v>0.50194792659792797</v>
      </c>
    </row>
    <row r="33" spans="1:9" ht="30">
      <c r="B33" s="74" t="s">
        <v>98</v>
      </c>
      <c r="C33" s="60">
        <f>Баланс!E20</f>
        <v>51427222</v>
      </c>
      <c r="D33" s="60">
        <f>Баланс!D20</f>
        <v>107674106</v>
      </c>
      <c r="E33" s="75">
        <f t="shared" si="9"/>
        <v>7.3380508919078616E-2</v>
      </c>
      <c r="F33" s="75">
        <f t="shared" si="9"/>
        <v>0.3144976408684016</v>
      </c>
      <c r="G33" s="76">
        <f t="shared" si="12"/>
        <v>56246884</v>
      </c>
      <c r="H33" s="63">
        <f t="shared" si="10"/>
        <v>0.24111713194932299</v>
      </c>
      <c r="I33" s="64">
        <f t="shared" si="11"/>
        <v>-0.15691219244842078</v>
      </c>
    </row>
    <row r="34" spans="1:9">
      <c r="B34" s="74" t="s">
        <v>99</v>
      </c>
      <c r="C34" s="60">
        <f>Баланс!E21</f>
        <v>250605972</v>
      </c>
      <c r="D34" s="60">
        <f>Баланс!D21</f>
        <v>15963819</v>
      </c>
      <c r="E34" s="75">
        <f t="shared" si="9"/>
        <v>0.35758481691895327</v>
      </c>
      <c r="F34" s="75">
        <f t="shared" si="9"/>
        <v>4.6627583931369398E-2</v>
      </c>
      <c r="G34" s="76">
        <f t="shared" si="12"/>
        <v>-234642153</v>
      </c>
      <c r="H34" s="63">
        <f t="shared" si="10"/>
        <v>-0.31095723298758388</v>
      </c>
      <c r="I34" s="64">
        <f t="shared" si="11"/>
        <v>0.65458229949320912</v>
      </c>
    </row>
    <row r="35" spans="1:9">
      <c r="B35" s="74" t="s">
        <v>38</v>
      </c>
      <c r="C35" s="60">
        <f>Баланс!E22</f>
        <v>0</v>
      </c>
      <c r="D35" s="60">
        <f>Баланс!D22</f>
        <v>0</v>
      </c>
      <c r="E35" s="75">
        <f t="shared" si="9"/>
        <v>0</v>
      </c>
      <c r="F35" s="75">
        <f t="shared" si="9"/>
        <v>0</v>
      </c>
      <c r="G35" s="76">
        <f t="shared" si="12"/>
        <v>0</v>
      </c>
      <c r="H35" s="63">
        <f t="shared" si="10"/>
        <v>0</v>
      </c>
      <c r="I35" s="64">
        <f t="shared" si="11"/>
        <v>0</v>
      </c>
    </row>
    <row r="36" spans="1:9">
      <c r="B36" s="77" t="s">
        <v>96</v>
      </c>
      <c r="C36" s="78">
        <f>SUM(C31:C35)</f>
        <v>700829454</v>
      </c>
      <c r="D36" s="78">
        <f>SUM(D31:D35)</f>
        <v>342368565</v>
      </c>
      <c r="E36" s="79">
        <f t="shared" si="9"/>
        <v>1</v>
      </c>
      <c r="F36" s="79">
        <f t="shared" si="9"/>
        <v>1</v>
      </c>
      <c r="G36" s="78">
        <f>SUM(G31:G35)</f>
        <v>-358460889</v>
      </c>
      <c r="H36" s="80"/>
      <c r="I36" s="81">
        <f t="shared" si="11"/>
        <v>1</v>
      </c>
    </row>
    <row r="38" spans="1:9" s="66" customFormat="1" ht="15.75">
      <c r="A38" s="66" t="s">
        <v>100</v>
      </c>
    </row>
    <row r="39" spans="1:9" ht="30" customHeight="1">
      <c r="B39" s="275" t="s">
        <v>82</v>
      </c>
      <c r="C39" s="277" t="str">
        <f>"Абсолютное изменение, "&amp;Меню!$Q$4</f>
        <v>Абсолютное изменение, тыс. руб.</v>
      </c>
      <c r="D39" s="278"/>
      <c r="E39" s="277" t="s">
        <v>83</v>
      </c>
      <c r="F39" s="278"/>
      <c r="G39" s="277" t="s">
        <v>84</v>
      </c>
      <c r="H39" s="279"/>
      <c r="I39" s="278"/>
    </row>
    <row r="40" spans="1:9" ht="48">
      <c r="B40" s="276"/>
      <c r="C40" s="67" t="s">
        <v>85</v>
      </c>
      <c r="D40" s="68" t="s">
        <v>86</v>
      </c>
      <c r="E40" s="68" t="s">
        <v>85</v>
      </c>
      <c r="F40" s="68" t="s">
        <v>86</v>
      </c>
      <c r="G40" s="68" t="s">
        <v>87</v>
      </c>
      <c r="H40" s="68" t="s">
        <v>88</v>
      </c>
      <c r="I40" s="68" t="s">
        <v>89</v>
      </c>
    </row>
    <row r="41" spans="1:9">
      <c r="B41" s="69" t="s">
        <v>101</v>
      </c>
      <c r="C41" s="84">
        <v>5791</v>
      </c>
      <c r="D41" s="84">
        <v>5429</v>
      </c>
      <c r="E41" s="70" t="str">
        <f t="shared" ref="E41:E49" si="13">IFERROR(C41/C$49,"")</f>
        <v/>
      </c>
      <c r="F41" s="70" t="str">
        <f t="shared" ref="F41:F49" si="14">IFERROR(D41/D$49,"")</f>
        <v/>
      </c>
      <c r="G41" s="71">
        <f>D41-C41</f>
        <v>-362</v>
      </c>
      <c r="H41" s="72" t="str">
        <f t="shared" ref="H41:H48" si="15">IFERROR(F41-E41,"")</f>
        <v/>
      </c>
      <c r="I41" s="73" t="str">
        <f t="shared" ref="I41:I49" si="16">IFERROR(G41/G$49,"")</f>
        <v/>
      </c>
    </row>
    <row r="42" spans="1:9" ht="30">
      <c r="B42" s="74" t="s">
        <v>102</v>
      </c>
      <c r="C42" s="85"/>
      <c r="D42" s="85"/>
      <c r="E42" s="75" t="str">
        <f t="shared" si="13"/>
        <v/>
      </c>
      <c r="F42" s="75" t="str">
        <f t="shared" si="14"/>
        <v/>
      </c>
      <c r="G42" s="76">
        <f t="shared" ref="G42:G47" si="17">D42-C42</f>
        <v>0</v>
      </c>
      <c r="H42" s="63" t="str">
        <f t="shared" si="15"/>
        <v/>
      </c>
      <c r="I42" s="64" t="str">
        <f t="shared" si="16"/>
        <v/>
      </c>
    </row>
    <row r="43" spans="1:9" ht="30">
      <c r="B43" s="74" t="s">
        <v>103</v>
      </c>
      <c r="C43" s="85"/>
      <c r="D43" s="85"/>
      <c r="E43" s="75" t="str">
        <f t="shared" si="13"/>
        <v/>
      </c>
      <c r="F43" s="75" t="str">
        <f t="shared" si="14"/>
        <v/>
      </c>
      <c r="G43" s="76">
        <f t="shared" si="17"/>
        <v>0</v>
      </c>
      <c r="H43" s="63" t="str">
        <f t="shared" si="15"/>
        <v/>
      </c>
      <c r="I43" s="64" t="str">
        <f t="shared" si="16"/>
        <v/>
      </c>
    </row>
    <row r="44" spans="1:9" ht="30">
      <c r="B44" s="74" t="s">
        <v>104</v>
      </c>
      <c r="C44" s="85">
        <v>526</v>
      </c>
      <c r="D44" s="85">
        <v>285</v>
      </c>
      <c r="E44" s="75" t="str">
        <f t="shared" si="13"/>
        <v/>
      </c>
      <c r="F44" s="75" t="str">
        <f t="shared" si="14"/>
        <v/>
      </c>
      <c r="G44" s="76">
        <f t="shared" si="17"/>
        <v>-241</v>
      </c>
      <c r="H44" s="63" t="str">
        <f t="shared" si="15"/>
        <v/>
      </c>
      <c r="I44" s="64" t="str">
        <f t="shared" si="16"/>
        <v/>
      </c>
    </row>
    <row r="45" spans="1:9">
      <c r="B45" s="74" t="s">
        <v>105</v>
      </c>
      <c r="C45" s="85"/>
      <c r="D45" s="85"/>
      <c r="E45" s="75" t="str">
        <f t="shared" si="13"/>
        <v/>
      </c>
      <c r="F45" s="75" t="str">
        <f t="shared" si="14"/>
        <v/>
      </c>
      <c r="G45" s="76">
        <f t="shared" si="17"/>
        <v>0</v>
      </c>
      <c r="H45" s="63" t="str">
        <f t="shared" si="15"/>
        <v/>
      </c>
      <c r="I45" s="64" t="str">
        <f t="shared" si="16"/>
        <v/>
      </c>
    </row>
    <row r="46" spans="1:9">
      <c r="B46" s="74" t="s">
        <v>79</v>
      </c>
      <c r="C46" s="60" t="e">
        <f>#REF!</f>
        <v>#REF!</v>
      </c>
      <c r="D46" s="60" t="e">
        <f>#REF!</f>
        <v>#REF!</v>
      </c>
      <c r="E46" s="75" t="str">
        <f t="shared" si="13"/>
        <v/>
      </c>
      <c r="F46" s="75" t="str">
        <f t="shared" si="14"/>
        <v/>
      </c>
      <c r="G46" s="76" t="e">
        <f t="shared" si="17"/>
        <v>#REF!</v>
      </c>
      <c r="H46" s="63" t="str">
        <f t="shared" si="15"/>
        <v/>
      </c>
      <c r="I46" s="64" t="str">
        <f t="shared" si="16"/>
        <v/>
      </c>
    </row>
    <row r="47" spans="1:9">
      <c r="B47" s="74" t="s">
        <v>106</v>
      </c>
      <c r="C47" s="85"/>
      <c r="D47" s="85"/>
      <c r="E47" s="75" t="str">
        <f t="shared" si="13"/>
        <v/>
      </c>
      <c r="F47" s="75" t="str">
        <f t="shared" si="14"/>
        <v/>
      </c>
      <c r="G47" s="76">
        <f t="shared" si="17"/>
        <v>0</v>
      </c>
      <c r="H47" s="63" t="str">
        <f t="shared" si="15"/>
        <v/>
      </c>
      <c r="I47" s="64" t="str">
        <f t="shared" si="16"/>
        <v/>
      </c>
    </row>
    <row r="48" spans="1:9" ht="30">
      <c r="B48" s="108" t="s">
        <v>34</v>
      </c>
      <c r="C48" s="109">
        <f>Баланс!E18</f>
        <v>387525</v>
      </c>
      <c r="D48" s="109">
        <f>Баланс!D18</f>
        <v>228413</v>
      </c>
      <c r="E48" s="75" t="str">
        <f t="shared" si="13"/>
        <v/>
      </c>
      <c r="F48" s="75" t="str">
        <f t="shared" si="14"/>
        <v/>
      </c>
      <c r="G48" s="76">
        <f t="shared" ref="G48" si="18">D48-C48</f>
        <v>-159112</v>
      </c>
      <c r="H48" s="63" t="str">
        <f t="shared" si="15"/>
        <v/>
      </c>
      <c r="I48" s="64" t="str">
        <f t="shared" si="16"/>
        <v/>
      </c>
    </row>
    <row r="49" spans="1:9">
      <c r="B49" s="77" t="s">
        <v>96</v>
      </c>
      <c r="C49" s="78" t="e">
        <f>SUM(C41:C48)</f>
        <v>#REF!</v>
      </c>
      <c r="D49" s="78" t="e">
        <f>SUM(D41:D48)</f>
        <v>#REF!</v>
      </c>
      <c r="E49" s="79" t="str">
        <f t="shared" si="13"/>
        <v/>
      </c>
      <c r="F49" s="79" t="str">
        <f t="shared" si="14"/>
        <v/>
      </c>
      <c r="G49" s="78" t="e">
        <f>SUM(G41:G48)</f>
        <v>#REF!</v>
      </c>
      <c r="H49" s="80"/>
      <c r="I49" s="81" t="str">
        <f t="shared" si="16"/>
        <v/>
      </c>
    </row>
    <row r="52" spans="1:9" s="66" customFormat="1" ht="15.75">
      <c r="A52" s="66" t="s">
        <v>107</v>
      </c>
    </row>
    <row r="53" spans="1:9" ht="30" customHeight="1">
      <c r="B53" s="275" t="s">
        <v>82</v>
      </c>
      <c r="C53" s="277" t="str">
        <f>"Абсолютное изменение, "&amp;Меню!$Q$4</f>
        <v>Абсолютное изменение, тыс. руб.</v>
      </c>
      <c r="D53" s="278"/>
      <c r="E53" s="277" t="s">
        <v>83</v>
      </c>
      <c r="F53" s="278"/>
      <c r="G53" s="277" t="s">
        <v>84</v>
      </c>
      <c r="H53" s="279"/>
      <c r="I53" s="278"/>
    </row>
    <row r="54" spans="1:9" ht="48">
      <c r="B54" s="276"/>
      <c r="C54" s="67" t="s">
        <v>85</v>
      </c>
      <c r="D54" s="68" t="s">
        <v>86</v>
      </c>
      <c r="E54" s="68" t="s">
        <v>85</v>
      </c>
      <c r="F54" s="68" t="s">
        <v>86</v>
      </c>
      <c r="G54" s="68" t="s">
        <v>87</v>
      </c>
      <c r="H54" s="68" t="s">
        <v>88</v>
      </c>
      <c r="I54" s="68" t="s">
        <v>89</v>
      </c>
    </row>
    <row r="55" spans="1:9">
      <c r="B55" s="69" t="s">
        <v>108</v>
      </c>
      <c r="C55" s="59">
        <f>Баланс!E33</f>
        <v>966219331</v>
      </c>
      <c r="D55" s="59">
        <f>Баланс!D33</f>
        <v>772182620</v>
      </c>
      <c r="E55" s="70">
        <f>IFERROR(C55/C$58,"")</f>
        <v>0.43538516274244482</v>
      </c>
      <c r="F55" s="70">
        <f t="shared" ref="F55:F58" si="19">IFERROR(D55/D$58,"")</f>
        <v>0.44678024986562126</v>
      </c>
      <c r="G55" s="71">
        <f>D55-C55</f>
        <v>-194036711</v>
      </c>
      <c r="H55" s="72">
        <f t="shared" ref="H55:H57" si="20">IFERROR(F55-E55,"")</f>
        <v>1.1395087123176439E-2</v>
      </c>
      <c r="I55" s="73">
        <f t="shared" ref="I55:I58" si="21">IFERROR(G55/G$58,"")</f>
        <v>0.3952662181334865</v>
      </c>
    </row>
    <row r="56" spans="1:9">
      <c r="B56" s="74" t="s">
        <v>109</v>
      </c>
      <c r="C56" s="60">
        <f>Баланс!E39</f>
        <v>187262044</v>
      </c>
      <c r="D56" s="60">
        <f>Баланс!D39</f>
        <v>334494881</v>
      </c>
      <c r="E56" s="75">
        <f t="shared" ref="E56:E58" si="22">IFERROR(C56/C$58,"")</f>
        <v>8.4381581786447266E-2</v>
      </c>
      <c r="F56" s="75">
        <f t="shared" si="19"/>
        <v>0.19353673942046409</v>
      </c>
      <c r="G56" s="76">
        <f t="shared" ref="G56:G57" si="23">D56-C56</f>
        <v>147232837</v>
      </c>
      <c r="H56" s="63">
        <f t="shared" si="20"/>
        <v>0.10915515763401683</v>
      </c>
      <c r="I56" s="64">
        <f t="shared" si="21"/>
        <v>-0.29992348543804204</v>
      </c>
    </row>
    <row r="57" spans="1:9">
      <c r="B57" s="74" t="s">
        <v>110</v>
      </c>
      <c r="C57" s="60">
        <f>Баланс!E46</f>
        <v>1065747514</v>
      </c>
      <c r="D57" s="60">
        <f>Баланс!D46</f>
        <v>621650061</v>
      </c>
      <c r="E57" s="75">
        <f t="shared" si="22"/>
        <v>0.4802332554711079</v>
      </c>
      <c r="F57" s="75">
        <f t="shared" si="19"/>
        <v>0.35968301071391467</v>
      </c>
      <c r="G57" s="76">
        <f t="shared" si="23"/>
        <v>-444097453</v>
      </c>
      <c r="H57" s="63">
        <f t="shared" si="20"/>
        <v>-0.12055024475719323</v>
      </c>
      <c r="I57" s="64">
        <f t="shared" si="21"/>
        <v>0.90465726730455553</v>
      </c>
    </row>
    <row r="58" spans="1:9">
      <c r="B58" s="77" t="s">
        <v>111</v>
      </c>
      <c r="C58" s="78">
        <f>SUM(C55:C57)</f>
        <v>2219228889</v>
      </c>
      <c r="D58" s="78">
        <f>SUM(D55:D57)</f>
        <v>1728327562</v>
      </c>
      <c r="E58" s="79">
        <f t="shared" si="22"/>
        <v>1</v>
      </c>
      <c r="F58" s="79">
        <f t="shared" si="19"/>
        <v>1</v>
      </c>
      <c r="G58" s="78">
        <f>SUM(G55:G57)</f>
        <v>-490901327</v>
      </c>
      <c r="H58" s="80"/>
      <c r="I58" s="81">
        <f t="shared" si="21"/>
        <v>1</v>
      </c>
    </row>
    <row r="59" spans="1:9">
      <c r="B59" s="74" t="s">
        <v>112</v>
      </c>
      <c r="C59" s="96">
        <f>Баланс!E33/Баланс!E24</f>
        <v>0.43538516274244482</v>
      </c>
      <c r="D59" s="96">
        <f>Баланс!D33/Баланс!D24</f>
        <v>0.44678024986562126</v>
      </c>
      <c r="E59" s="86"/>
      <c r="F59" s="87"/>
      <c r="G59" s="88"/>
      <c r="H59" s="89"/>
      <c r="I59" s="90"/>
    </row>
    <row r="60" spans="1:9" ht="30">
      <c r="B60" s="74" t="s">
        <v>113</v>
      </c>
      <c r="C60" s="96">
        <f>(Баланс!E46+Баланс!E39)/Баланс!E33</f>
        <v>1.2968169004683265</v>
      </c>
      <c r="D60" s="96">
        <f>(Баланс!D39+Баланс!D46)/Баланс!D33</f>
        <v>1.2382368072464516</v>
      </c>
      <c r="E60" s="91"/>
      <c r="F60" s="92"/>
      <c r="G60" s="93"/>
      <c r="H60" s="94"/>
      <c r="I60" s="95"/>
    </row>
    <row r="61" spans="1:9" ht="45">
      <c r="B61" s="82" t="s">
        <v>114</v>
      </c>
      <c r="C61" s="83">
        <f>C57/(C55+C56)</f>
        <v>0.92393994137963431</v>
      </c>
      <c r="D61" s="83">
        <f>D57/(D55+D56)</f>
        <v>0.56172648349521292</v>
      </c>
      <c r="E61" s="122"/>
      <c r="F61" s="123"/>
      <c r="G61" s="124"/>
      <c r="H61" s="125"/>
      <c r="I61" s="126"/>
    </row>
    <row r="63" spans="1:9" s="66" customFormat="1" ht="15.75">
      <c r="A63" s="66" t="s">
        <v>115</v>
      </c>
    </row>
    <row r="64" spans="1:9" ht="30" customHeight="1">
      <c r="B64" s="275" t="s">
        <v>82</v>
      </c>
      <c r="C64" s="277" t="str">
        <f>"Абсолютное изменение, "&amp;Меню!$Q$4</f>
        <v>Абсолютное изменение, тыс. руб.</v>
      </c>
      <c r="D64" s="278"/>
      <c r="E64" s="277" t="s">
        <v>83</v>
      </c>
      <c r="F64" s="278"/>
      <c r="G64" s="277" t="s">
        <v>84</v>
      </c>
      <c r="H64" s="279"/>
      <c r="I64" s="278"/>
    </row>
    <row r="65" spans="2:9" ht="48">
      <c r="B65" s="276"/>
      <c r="C65" s="67" t="s">
        <v>85</v>
      </c>
      <c r="D65" s="68" t="s">
        <v>86</v>
      </c>
      <c r="E65" s="68" t="s">
        <v>85</v>
      </c>
      <c r="F65" s="68" t="s">
        <v>86</v>
      </c>
      <c r="G65" s="68" t="s">
        <v>87</v>
      </c>
      <c r="H65" s="68" t="s">
        <v>88</v>
      </c>
      <c r="I65" s="68" t="s">
        <v>89</v>
      </c>
    </row>
    <row r="66" spans="2:9">
      <c r="B66" s="69" t="s">
        <v>116</v>
      </c>
      <c r="C66" s="59">
        <f>Баланс!E35</f>
        <v>185717100</v>
      </c>
      <c r="D66" s="59">
        <f>Баланс!D35</f>
        <v>332440650</v>
      </c>
      <c r="E66" s="70">
        <f>IFERROR(C66/C$71,"")</f>
        <v>0.14821682629175922</v>
      </c>
      <c r="F66" s="70">
        <f t="shared" ref="F66:F71" si="24">IFERROR(D66/D$71,"")</f>
        <v>0.34768855159618678</v>
      </c>
      <c r="G66" s="71">
        <f>D66-C66</f>
        <v>146723550</v>
      </c>
      <c r="H66" s="72">
        <f>F66-E66</f>
        <v>0.19947172530442756</v>
      </c>
      <c r="I66" s="73">
        <f t="shared" ref="I66:I71" si="25">IFERROR(G66/G$71,"")</f>
        <v>-0.49424398224677607</v>
      </c>
    </row>
    <row r="67" spans="2:9">
      <c r="B67" s="74" t="s">
        <v>117</v>
      </c>
      <c r="C67" s="60">
        <f>Баланс!E39-C66</f>
        <v>1544944</v>
      </c>
      <c r="D67" s="60">
        <f>Баланс!D39-D66</f>
        <v>2054231</v>
      </c>
      <c r="E67" s="75">
        <f t="shared" ref="E67:E71" si="26">IFERROR(C67/C$71,"")</f>
        <v>1.2329866042410508E-3</v>
      </c>
      <c r="F67" s="75">
        <f t="shared" si="24"/>
        <v>2.1484514635439029E-3</v>
      </c>
      <c r="G67" s="76">
        <f t="shared" ref="G67:G70" si="27">D67-C67</f>
        <v>509287</v>
      </c>
      <c r="H67" s="63">
        <f t="shared" ref="H67:H70" si="28">F67-E67</f>
        <v>9.1546485930285213E-4</v>
      </c>
      <c r="I67" s="64">
        <f t="shared" si="25"/>
        <v>-1.7155530587047126E-3</v>
      </c>
    </row>
    <row r="68" spans="2:9">
      <c r="B68" s="74" t="s">
        <v>118</v>
      </c>
      <c r="C68" s="60">
        <f>Баланс!E41</f>
        <v>755331842</v>
      </c>
      <c r="D68" s="60">
        <f>Баланс!D41</f>
        <v>523015889</v>
      </c>
      <c r="E68" s="75">
        <f t="shared" si="26"/>
        <v>0.60281411037728094</v>
      </c>
      <c r="F68" s="75">
        <f t="shared" si="24"/>
        <v>0.54700481697470504</v>
      </c>
      <c r="G68" s="76">
        <f t="shared" si="27"/>
        <v>-232315953</v>
      </c>
      <c r="H68" s="63">
        <f t="shared" si="28"/>
        <v>-5.5809293402575899E-2</v>
      </c>
      <c r="I68" s="64">
        <f t="shared" si="25"/>
        <v>0.78256531926997996</v>
      </c>
    </row>
    <row r="69" spans="2:9" ht="30">
      <c r="B69" s="74" t="s">
        <v>119</v>
      </c>
      <c r="C69" s="60">
        <f>Баланс!E42</f>
        <v>306679032</v>
      </c>
      <c r="D69" s="60">
        <f>Баланс!D42</f>
        <v>94084277</v>
      </c>
      <c r="E69" s="75">
        <f t="shared" si="26"/>
        <v>0.24475394464628658</v>
      </c>
      <c r="F69" s="75">
        <f t="shared" si="24"/>
        <v>9.8399597035153274E-2</v>
      </c>
      <c r="G69" s="76">
        <f t="shared" si="27"/>
        <v>-212594755</v>
      </c>
      <c r="H69" s="63">
        <f t="shared" si="28"/>
        <v>-0.14635434761113331</v>
      </c>
      <c r="I69" s="64">
        <f t="shared" si="25"/>
        <v>0.71613369711936303</v>
      </c>
    </row>
    <row r="70" spans="2:9">
      <c r="B70" s="74" t="s">
        <v>120</v>
      </c>
      <c r="C70" s="60">
        <f>SUM(Баланс!E43:E45)</f>
        <v>3736640</v>
      </c>
      <c r="D70" s="60">
        <f>SUM(Баланс!D43:D45)</f>
        <v>4549895</v>
      </c>
      <c r="E70" s="75">
        <f t="shared" si="26"/>
        <v>2.9821320804322227E-3</v>
      </c>
      <c r="F70" s="75">
        <f t="shared" si="24"/>
        <v>4.7585829304109834E-3</v>
      </c>
      <c r="G70" s="76">
        <f t="shared" si="27"/>
        <v>813255</v>
      </c>
      <c r="H70" s="63">
        <f t="shared" si="28"/>
        <v>1.7764508499787607E-3</v>
      </c>
      <c r="I70" s="64">
        <f t="shared" si="25"/>
        <v>-2.7394810838621466E-3</v>
      </c>
    </row>
    <row r="71" spans="2:9">
      <c r="B71" s="77" t="s">
        <v>96</v>
      </c>
      <c r="C71" s="78">
        <f>SUM(C66:C70)</f>
        <v>1253009558</v>
      </c>
      <c r="D71" s="78">
        <f>SUM(D66:D70)</f>
        <v>956144942</v>
      </c>
      <c r="E71" s="79">
        <f t="shared" si="26"/>
        <v>1</v>
      </c>
      <c r="F71" s="79">
        <f t="shared" si="24"/>
        <v>1</v>
      </c>
      <c r="G71" s="78">
        <f>SUM(G66:G70)</f>
        <v>-296864616</v>
      </c>
      <c r="H71" s="80"/>
      <c r="I71" s="81">
        <f t="shared" si="25"/>
        <v>1</v>
      </c>
    </row>
  </sheetData>
  <mergeCells count="24">
    <mergeCell ref="B64:B65"/>
    <mergeCell ref="C64:D64"/>
    <mergeCell ref="E64:F64"/>
    <mergeCell ref="G64:I64"/>
    <mergeCell ref="B29:B30"/>
    <mergeCell ref="C29:D29"/>
    <mergeCell ref="E29:F29"/>
    <mergeCell ref="G29:I29"/>
    <mergeCell ref="B39:B40"/>
    <mergeCell ref="C39:D39"/>
    <mergeCell ref="E39:F39"/>
    <mergeCell ref="G39:I39"/>
    <mergeCell ref="B53:B54"/>
    <mergeCell ref="C53:D53"/>
    <mergeCell ref="E53:F53"/>
    <mergeCell ref="G53:I53"/>
    <mergeCell ref="B11:B12"/>
    <mergeCell ref="C11:D11"/>
    <mergeCell ref="E11:F11"/>
    <mergeCell ref="G11:I11"/>
    <mergeCell ref="B20:B21"/>
    <mergeCell ref="C20:D20"/>
    <mergeCell ref="E20:F20"/>
    <mergeCell ref="G20:I20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verticalDpi="0" r:id="rId1"/>
  <rowBreaks count="3" manualBreakCount="3">
    <brk id="18" max="16383" man="1"/>
    <brk id="37" max="16383" man="1"/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opLeftCell="A61" zoomScaleNormal="100" workbookViewId="0">
      <selection activeCell="S36" sqref="S36"/>
    </sheetView>
  </sheetViews>
  <sheetFormatPr defaultRowHeight="15"/>
  <cols>
    <col min="1" max="16384" width="9.140625" style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9"/>
  <sheetViews>
    <sheetView zoomScaleNormal="100" zoomScaleSheetLayoutView="100" workbookViewId="0">
      <selection activeCell="F16" sqref="F16"/>
    </sheetView>
  </sheetViews>
  <sheetFormatPr defaultRowHeight="15"/>
  <cols>
    <col min="1" max="1" width="1.7109375" style="1" customWidth="1"/>
    <col min="2" max="2" width="44.28515625" style="1" customWidth="1"/>
    <col min="3" max="3" width="9.140625" style="1"/>
    <col min="4" max="8" width="12.7109375" style="1" customWidth="1"/>
    <col min="9" max="10" width="10.7109375" style="1" customWidth="1"/>
    <col min="11" max="11" width="1.7109375" style="1" customWidth="1"/>
    <col min="12" max="16384" width="9.140625" style="1"/>
  </cols>
  <sheetData>
    <row r="1" spans="1:10" s="8" customFormat="1" ht="18.75">
      <c r="A1" s="8" t="s">
        <v>233</v>
      </c>
    </row>
    <row r="3" spans="1:10">
      <c r="B3" s="283" t="s">
        <v>82</v>
      </c>
      <c r="C3" s="283" t="s">
        <v>234</v>
      </c>
      <c r="D3" s="282" t="s">
        <v>141</v>
      </c>
      <c r="E3" s="282"/>
      <c r="F3" s="282"/>
      <c r="G3" s="280" t="s">
        <v>142</v>
      </c>
      <c r="H3" s="281"/>
      <c r="I3" s="280" t="s">
        <v>143</v>
      </c>
      <c r="J3" s="281"/>
    </row>
    <row r="4" spans="1:10" ht="24">
      <c r="B4" s="283"/>
      <c r="C4" s="283"/>
      <c r="D4" s="61" t="str">
        <f>Меню!$N$7</f>
        <v>2020г.</v>
      </c>
      <c r="E4" s="61" t="str">
        <f>Меню!$N$6</f>
        <v>2019г.</v>
      </c>
      <c r="F4" s="61">
        <f>Меню!$N$5</f>
        <v>0</v>
      </c>
      <c r="G4" s="61" t="str">
        <f>Меню!$N$7&amp;" - "&amp;Меню!$N$6</f>
        <v>2020г. - 2019г.</v>
      </c>
      <c r="H4" s="61" t="str">
        <f>Меню!$N$7&amp;" - "&amp;Меню!$N$5</f>
        <v xml:space="preserve">2020г. - </v>
      </c>
      <c r="I4" s="61" t="str">
        <f>Меню!$N$7&amp;" / "&amp;Меню!$N$6</f>
        <v>2020г. / 2019г.</v>
      </c>
      <c r="J4" s="61" t="str">
        <f>Меню!$N$7&amp;" / "&amp;Меню!$N$5</f>
        <v xml:space="preserve">2020г. / </v>
      </c>
    </row>
    <row r="5" spans="1:10">
      <c r="B5" s="181" t="s">
        <v>108</v>
      </c>
      <c r="C5" s="182" t="str">
        <f>Меню!$Q$4</f>
        <v>тыс. руб.</v>
      </c>
      <c r="D5" s="130">
        <f>Баланс!D33</f>
        <v>772182620</v>
      </c>
      <c r="E5" s="130">
        <f>Баланс!E33</f>
        <v>966219331</v>
      </c>
      <c r="F5" s="130">
        <f>Баланс!F33</f>
        <v>0</v>
      </c>
      <c r="G5" s="131">
        <f t="shared" ref="G5:G16" si="0">D5-E5</f>
        <v>-194036711</v>
      </c>
      <c r="H5" s="131">
        <f t="shared" ref="H5:H16" si="1">D5-F5</f>
        <v>772182620</v>
      </c>
      <c r="I5" s="132">
        <f t="shared" ref="I5:I16" si="2">IFERROR(D5/E5,"")</f>
        <v>0.79917943599909202</v>
      </c>
      <c r="J5" s="133" t="str">
        <f t="shared" ref="J5:J16" si="3">IFERROR(D5/F5,"")</f>
        <v/>
      </c>
    </row>
    <row r="6" spans="1:10">
      <c r="B6" s="183" t="s">
        <v>235</v>
      </c>
      <c r="C6" s="151" t="str">
        <f>Меню!$Q$4</f>
        <v>тыс. руб.</v>
      </c>
      <c r="D6" s="137">
        <f>Баланс!D39+Баланс!D46</f>
        <v>956144942</v>
      </c>
      <c r="E6" s="137">
        <f>Баланс!E39+Баланс!E46</f>
        <v>1253009558</v>
      </c>
      <c r="F6" s="137">
        <f>Баланс!F39+Баланс!F46</f>
        <v>0</v>
      </c>
      <c r="G6" s="138">
        <f t="shared" si="0"/>
        <v>-296864616</v>
      </c>
      <c r="H6" s="138">
        <f t="shared" si="1"/>
        <v>956144942</v>
      </c>
      <c r="I6" s="139">
        <f t="shared" si="2"/>
        <v>0.76307872984317648</v>
      </c>
      <c r="J6" s="140" t="str">
        <f t="shared" si="3"/>
        <v/>
      </c>
    </row>
    <row r="7" spans="1:10">
      <c r="B7" s="183" t="s">
        <v>236</v>
      </c>
      <c r="C7" s="151" t="str">
        <f>Меню!$Q$4</f>
        <v>тыс. руб.</v>
      </c>
      <c r="D7" s="138">
        <f t="shared" ref="D7:F7" si="4">D5+D6</f>
        <v>1728327562</v>
      </c>
      <c r="E7" s="138">
        <f t="shared" si="4"/>
        <v>2219228889</v>
      </c>
      <c r="F7" s="138">
        <f t="shared" si="4"/>
        <v>0</v>
      </c>
      <c r="G7" s="138">
        <f t="shared" si="0"/>
        <v>-490901327</v>
      </c>
      <c r="H7" s="138">
        <f t="shared" si="1"/>
        <v>1728327562</v>
      </c>
      <c r="I7" s="139">
        <f t="shared" si="2"/>
        <v>0.778796441667987</v>
      </c>
      <c r="J7" s="140" t="str">
        <f t="shared" si="3"/>
        <v/>
      </c>
    </row>
    <row r="8" spans="1:10">
      <c r="B8" s="183" t="s">
        <v>237</v>
      </c>
      <c r="C8" s="151" t="str">
        <f>Меню!$Q$4</f>
        <v>тыс. руб.</v>
      </c>
      <c r="D8" s="137">
        <f>Баланс!D64-Баланс!D61</f>
        <v>241022238</v>
      </c>
      <c r="E8" s="137">
        <f>Баланс!E64-Баланс!E61</f>
        <v>460320838</v>
      </c>
      <c r="F8" s="137">
        <f>Баланс!F64-Баланс!F61</f>
        <v>0</v>
      </c>
      <c r="G8" s="138">
        <f t="shared" si="0"/>
        <v>-219298600</v>
      </c>
      <c r="H8" s="138">
        <f t="shared" si="1"/>
        <v>241022238</v>
      </c>
      <c r="I8" s="139">
        <f t="shared" si="2"/>
        <v>0.52359619227144349</v>
      </c>
      <c r="J8" s="140" t="str">
        <f t="shared" si="3"/>
        <v/>
      </c>
    </row>
    <row r="9" spans="1:10">
      <c r="B9" s="183" t="s">
        <v>238</v>
      </c>
      <c r="C9" s="151" t="s">
        <v>145</v>
      </c>
      <c r="D9" s="171">
        <v>12.5</v>
      </c>
      <c r="E9" s="171">
        <v>12.5</v>
      </c>
      <c r="F9" s="171">
        <v>12.5</v>
      </c>
      <c r="G9" s="172">
        <f t="shared" si="0"/>
        <v>0</v>
      </c>
      <c r="H9" s="172">
        <f t="shared" si="1"/>
        <v>0</v>
      </c>
      <c r="I9" s="139">
        <f t="shared" si="2"/>
        <v>1</v>
      </c>
      <c r="J9" s="140">
        <f t="shared" si="3"/>
        <v>1</v>
      </c>
    </row>
    <row r="10" spans="1:10">
      <c r="B10" s="183" t="s">
        <v>239</v>
      </c>
      <c r="C10" s="151" t="str">
        <f>Меню!$Q$4</f>
        <v>тыс. руб.</v>
      </c>
      <c r="D10" s="138">
        <f>D9*D6/100</f>
        <v>119518117.75</v>
      </c>
      <c r="E10" s="138">
        <f t="shared" ref="E10:F10" si="5">E9*E6/100</f>
        <v>156626194.75</v>
      </c>
      <c r="F10" s="138">
        <f t="shared" si="5"/>
        <v>0</v>
      </c>
      <c r="G10" s="138">
        <f t="shared" si="0"/>
        <v>-37108077</v>
      </c>
      <c r="H10" s="138">
        <f t="shared" si="1"/>
        <v>119518117.75</v>
      </c>
      <c r="I10" s="139">
        <f t="shared" si="2"/>
        <v>0.76307872984317648</v>
      </c>
      <c r="J10" s="140" t="str">
        <f t="shared" si="3"/>
        <v/>
      </c>
    </row>
    <row r="11" spans="1:10">
      <c r="B11" s="183" t="s">
        <v>240</v>
      </c>
      <c r="C11" s="151" t="s">
        <v>145</v>
      </c>
      <c r="D11" s="171">
        <v>20</v>
      </c>
      <c r="E11" s="171">
        <v>20</v>
      </c>
      <c r="F11" s="171">
        <v>20</v>
      </c>
      <c r="G11" s="172">
        <f t="shared" si="0"/>
        <v>0</v>
      </c>
      <c r="H11" s="172">
        <f t="shared" si="1"/>
        <v>0</v>
      </c>
      <c r="I11" s="139">
        <f t="shared" si="2"/>
        <v>1</v>
      </c>
      <c r="J11" s="140">
        <f t="shared" si="3"/>
        <v>1</v>
      </c>
    </row>
    <row r="12" spans="1:10">
      <c r="B12" s="183" t="s">
        <v>241</v>
      </c>
      <c r="C12" s="151" t="str">
        <f>Меню!$Q$4</f>
        <v>тыс. руб.</v>
      </c>
      <c r="D12" s="137">
        <f>Баланс!D64</f>
        <v>194498789</v>
      </c>
      <c r="E12" s="137">
        <f>Баланс!E64</f>
        <v>404912928</v>
      </c>
      <c r="F12" s="137">
        <f>Баланс!F64</f>
        <v>0</v>
      </c>
      <c r="G12" s="138">
        <f t="shared" si="0"/>
        <v>-210414139</v>
      </c>
      <c r="H12" s="138">
        <f t="shared" si="1"/>
        <v>194498789</v>
      </c>
      <c r="I12" s="139">
        <f t="shared" si="2"/>
        <v>0.48034719454549002</v>
      </c>
      <c r="J12" s="140" t="str">
        <f t="shared" si="3"/>
        <v/>
      </c>
    </row>
    <row r="13" spans="1:10">
      <c r="B13" s="183" t="s">
        <v>242</v>
      </c>
      <c r="C13" s="151" t="str">
        <f>Меню!$Q$4</f>
        <v>тыс. руб.</v>
      </c>
      <c r="D13" s="138">
        <f>D12*D11/100</f>
        <v>38899757.799999997</v>
      </c>
      <c r="E13" s="138">
        <f t="shared" ref="E13:F13" si="6">E12*E11/100</f>
        <v>80982585.599999994</v>
      </c>
      <c r="F13" s="138">
        <f t="shared" si="6"/>
        <v>0</v>
      </c>
      <c r="G13" s="138">
        <f t="shared" si="0"/>
        <v>-42082827.799999997</v>
      </c>
      <c r="H13" s="138">
        <f t="shared" si="1"/>
        <v>38899757.799999997</v>
      </c>
      <c r="I13" s="139">
        <f t="shared" si="2"/>
        <v>0.48034719454549002</v>
      </c>
      <c r="J13" s="140" t="str">
        <f t="shared" si="3"/>
        <v/>
      </c>
    </row>
    <row r="14" spans="1:10">
      <c r="B14" s="183" t="s">
        <v>243</v>
      </c>
      <c r="C14" s="151" t="str">
        <f>Меню!$Q$4</f>
        <v>тыс. руб.</v>
      </c>
      <c r="D14" s="137">
        <f>Баланс!D70</f>
        <v>197559111</v>
      </c>
      <c r="E14" s="137">
        <f>Баланс!E70</f>
        <v>403070730</v>
      </c>
      <c r="F14" s="137">
        <f>Баланс!F70</f>
        <v>0</v>
      </c>
      <c r="G14" s="138">
        <f t="shared" si="0"/>
        <v>-205511619</v>
      </c>
      <c r="H14" s="138">
        <f t="shared" si="1"/>
        <v>197559111</v>
      </c>
      <c r="I14" s="139">
        <f t="shared" si="2"/>
        <v>0.49013509614057066</v>
      </c>
      <c r="J14" s="140" t="str">
        <f t="shared" si="3"/>
        <v/>
      </c>
    </row>
    <row r="15" spans="1:10">
      <c r="B15" s="184" t="s">
        <v>244</v>
      </c>
      <c r="C15" s="173" t="s">
        <v>145</v>
      </c>
      <c r="D15" s="174">
        <f>IFERROR(D14/D5*100,"")</f>
        <v>25.584506292047859</v>
      </c>
      <c r="E15" s="174">
        <f t="shared" ref="E15:F15" si="7">IFERROR(E14/E5*100,"")</f>
        <v>41.716276736342792</v>
      </c>
      <c r="F15" s="174" t="str">
        <f t="shared" si="7"/>
        <v/>
      </c>
      <c r="G15" s="175">
        <f t="shared" si="0"/>
        <v>-16.131770444294933</v>
      </c>
      <c r="H15" s="175" t="e">
        <f t="shared" si="1"/>
        <v>#VALUE!</v>
      </c>
      <c r="I15" s="175">
        <f t="shared" si="2"/>
        <v>0.61329793293270829</v>
      </c>
      <c r="J15" s="176" t="str">
        <f t="shared" si="3"/>
        <v/>
      </c>
    </row>
    <row r="16" spans="1:10">
      <c r="B16" s="178" t="s">
        <v>245</v>
      </c>
      <c r="C16" s="177" t="s">
        <v>145</v>
      </c>
      <c r="D16" s="179">
        <f>(1-D11/100)*(D8*100%/D7-D9/100)*(D6/D5)</f>
        <v>1.431800631118973E-2</v>
      </c>
      <c r="E16" s="179">
        <f t="shared" ref="E16:F16" si="8">(1-E11/100)*(E8*100%/E7-E9/100)*(E6/E5)</f>
        <v>8.5510837525258704E-2</v>
      </c>
      <c r="F16" s="179" t="e">
        <f t="shared" si="8"/>
        <v>#DIV/0!</v>
      </c>
      <c r="G16" s="179">
        <f t="shared" si="0"/>
        <v>-7.1192831214068969E-2</v>
      </c>
      <c r="H16" s="179" t="e">
        <f t="shared" si="1"/>
        <v>#DIV/0!</v>
      </c>
      <c r="I16" s="179">
        <f t="shared" si="2"/>
        <v>0.16744083820907954</v>
      </c>
      <c r="J16" s="180" t="str">
        <f t="shared" si="3"/>
        <v/>
      </c>
    </row>
    <row r="18" spans="1:2" s="106" customFormat="1" ht="12.75">
      <c r="A18" s="106" t="s">
        <v>146</v>
      </c>
    </row>
    <row r="19" spans="1:2" s="156" customFormat="1" ht="12">
      <c r="B19" s="185" t="s">
        <v>246</v>
      </c>
    </row>
  </sheetData>
  <mergeCells count="5">
    <mergeCell ref="D3:F3"/>
    <mergeCell ref="G3:H3"/>
    <mergeCell ref="I3:J3"/>
    <mergeCell ref="B3:B4"/>
    <mergeCell ref="C3:C4"/>
  </mergeCells>
  <hyperlinks>
    <hyperlink ref="B19" r:id="rId1"/>
  </hyperlinks>
  <printOptions horizontalCentered="1"/>
  <pageMargins left="0.19685039370078741" right="0.19685039370078741" top="0.78740157480314965" bottom="0.39370078740157483" header="0.31496062992125984" footer="0.31496062992125984"/>
  <pageSetup paperSize="9" orientation="landscape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4"/>
  <sheetViews>
    <sheetView topLeftCell="A13" zoomScaleNormal="100" zoomScaleSheetLayoutView="100" workbookViewId="0">
      <selection activeCell="A34" sqref="A34:XFD39"/>
    </sheetView>
  </sheetViews>
  <sheetFormatPr defaultRowHeight="15"/>
  <cols>
    <col min="1" max="1" width="1.7109375" style="1" customWidth="1"/>
    <col min="2" max="2" width="4.7109375" style="1" customWidth="1"/>
    <col min="3" max="3" width="50.42578125" style="1" customWidth="1"/>
    <col min="4" max="4" width="9.28515625" style="1" customWidth="1"/>
    <col min="5" max="9" width="12.7109375" style="1" customWidth="1"/>
    <col min="10" max="11" width="10.7109375" style="1" customWidth="1"/>
    <col min="12" max="12" width="1.7109375" style="1" customWidth="1"/>
    <col min="13" max="16384" width="9.140625" style="1"/>
  </cols>
  <sheetData>
    <row r="1" spans="1:14" s="8" customFormat="1" ht="18.75">
      <c r="A1" s="8" t="s">
        <v>347</v>
      </c>
    </row>
    <row r="3" spans="1:14" ht="30" customHeight="1">
      <c r="B3" s="275" t="s">
        <v>139</v>
      </c>
      <c r="C3" s="282" t="s">
        <v>80</v>
      </c>
      <c r="D3" s="275" t="s">
        <v>133</v>
      </c>
      <c r="E3" s="282" t="s">
        <v>141</v>
      </c>
      <c r="F3" s="282"/>
      <c r="G3" s="282"/>
      <c r="H3" s="280" t="str">
        <f>"Изменение, "&amp;Меню!$Q$4</f>
        <v>Изменение, тыс. руб.</v>
      </c>
      <c r="I3" s="281"/>
      <c r="J3" s="280" t="s">
        <v>143</v>
      </c>
      <c r="K3" s="281"/>
    </row>
    <row r="4" spans="1:14" ht="24">
      <c r="B4" s="276"/>
      <c r="C4" s="282"/>
      <c r="D4" s="276"/>
      <c r="E4" s="61" t="str">
        <f>Меню!$N$7</f>
        <v>2020г.</v>
      </c>
      <c r="F4" s="61" t="str">
        <f>Меню!$N$6</f>
        <v>2019г.</v>
      </c>
      <c r="G4" s="61"/>
      <c r="H4" s="61" t="str">
        <f>Меню!$N$7&amp;" - "&amp;Меню!$N$6</f>
        <v>2020г. - 2019г.</v>
      </c>
      <c r="I4" s="61" t="str">
        <f>Меню!$N$7&amp;" - "&amp;Меню!$N$5</f>
        <v xml:space="preserve">2020г. - </v>
      </c>
      <c r="J4" s="61" t="str">
        <f>Меню!$N$7&amp;" / "&amp;Меню!$N$6</f>
        <v>2020г. / 2019г.</v>
      </c>
      <c r="K4" s="61" t="str">
        <f>Меню!$N$7&amp;" / "&amp;Меню!$N$5</f>
        <v xml:space="preserve">2020г. / </v>
      </c>
      <c r="M4" s="57"/>
      <c r="N4" s="57"/>
    </row>
    <row r="5" spans="1:14" ht="15.75">
      <c r="B5" s="148" t="s">
        <v>232</v>
      </c>
      <c r="C5" s="149"/>
      <c r="D5" s="149"/>
      <c r="E5" s="149"/>
      <c r="F5" s="149"/>
      <c r="G5" s="149"/>
      <c r="H5" s="149"/>
      <c r="I5" s="149"/>
      <c r="J5" s="149"/>
      <c r="K5" s="150"/>
    </row>
    <row r="6" spans="1:14" ht="25.5">
      <c r="B6" s="134" t="s">
        <v>4</v>
      </c>
      <c r="C6" s="135" t="s">
        <v>222</v>
      </c>
      <c r="D6" s="151" t="s">
        <v>167</v>
      </c>
      <c r="E6" s="152">
        <f>Баланс!D33/Баланс!D24</f>
        <v>0.44678024986562126</v>
      </c>
      <c r="F6" s="152">
        <f>Баланс!E33/Баланс!E24</f>
        <v>0.43538516274244482</v>
      </c>
      <c r="G6" s="152"/>
      <c r="H6" s="141">
        <f>E6-F6</f>
        <v>1.1395087123176439E-2</v>
      </c>
      <c r="I6" s="141">
        <f>E6-G6</f>
        <v>0.44678024986562126</v>
      </c>
      <c r="J6" s="139">
        <f>IFERROR(E6/F6,"")</f>
        <v>1.0261724286868206</v>
      </c>
      <c r="K6" s="140" t="str">
        <f>IFERROR(E6/G6,"")</f>
        <v/>
      </c>
    </row>
    <row r="7" spans="1:14" ht="30">
      <c r="B7" s="134" t="s">
        <v>5</v>
      </c>
      <c r="C7" s="135" t="s">
        <v>225</v>
      </c>
      <c r="D7" s="151" t="s">
        <v>206</v>
      </c>
      <c r="E7" s="152">
        <f>(Баланс!D39+Баланс!D46)/Баланс!D47</f>
        <v>0.55321975013437874</v>
      </c>
      <c r="F7" s="152">
        <f>(Баланс!E39+Баланс!E46)/Баланс!E47</f>
        <v>0.56461483725755524</v>
      </c>
      <c r="G7" s="152"/>
      <c r="H7" s="141">
        <f>E7-F7</f>
        <v>-1.1395087123176495E-2</v>
      </c>
      <c r="I7" s="141">
        <f>E7-G7</f>
        <v>0.55321975013437874</v>
      </c>
      <c r="J7" s="139">
        <f>IFERROR(E7/F7,"")</f>
        <v>0.97981794602046823</v>
      </c>
      <c r="K7" s="140" t="str">
        <f>IFERROR(E7/G7,"")</f>
        <v/>
      </c>
    </row>
    <row r="8" spans="1:14" ht="30">
      <c r="B8" s="134" t="s">
        <v>6</v>
      </c>
      <c r="C8" s="135" t="s">
        <v>226</v>
      </c>
      <c r="D8" s="151" t="s">
        <v>231</v>
      </c>
      <c r="E8" s="152">
        <f>Баланс!D39/(Баланс!D33+Баланс!D39)</f>
        <v>0.30225145148225074</v>
      </c>
      <c r="F8" s="152">
        <f>Баланс!E39/(Баланс!E33+Баланс!E39)</f>
        <v>0.16234509551573817</v>
      </c>
      <c r="G8" s="152"/>
      <c r="H8" s="141">
        <f>E8-F8</f>
        <v>0.13990635596651257</v>
      </c>
      <c r="I8" s="141">
        <f>E8-G8</f>
        <v>0.30225145148225074</v>
      </c>
      <c r="J8" s="139">
        <f>IFERROR(E8/F8,"")</f>
        <v>1.8617836930771319</v>
      </c>
      <c r="K8" s="140" t="str">
        <f>IFERROR(E8/G8,"")</f>
        <v/>
      </c>
    </row>
    <row r="9" spans="1:14" ht="30">
      <c r="B9" s="134" t="s">
        <v>7</v>
      </c>
      <c r="C9" s="135" t="s">
        <v>228</v>
      </c>
      <c r="D9" s="151" t="s">
        <v>230</v>
      </c>
      <c r="E9" s="152">
        <f>Баланс!D33/(Баланс!D33+Баланс!D39)</f>
        <v>0.69774854851774926</v>
      </c>
      <c r="F9" s="152">
        <f>Баланс!E33/(Баланс!E33+Баланс!E39)</f>
        <v>0.83765490448426183</v>
      </c>
      <c r="G9" s="152"/>
      <c r="H9" s="141">
        <f>E9-F9</f>
        <v>-0.13990635596651257</v>
      </c>
      <c r="I9" s="141">
        <f>E9-G9</f>
        <v>0.69774854851774926</v>
      </c>
      <c r="J9" s="139">
        <f>IFERROR(E9/F9,"")</f>
        <v>0.83297852705506226</v>
      </c>
      <c r="K9" s="140" t="str">
        <f>IFERROR(E9/G9,"")</f>
        <v/>
      </c>
    </row>
    <row r="10" spans="1:14">
      <c r="B10" s="134" t="s">
        <v>149</v>
      </c>
      <c r="C10" s="135" t="s">
        <v>292</v>
      </c>
      <c r="D10" s="151"/>
      <c r="E10" s="152">
        <f>Баланс!D39/Баланс!D33</f>
        <v>0.43318105372534804</v>
      </c>
      <c r="F10" s="152">
        <f>Баланс!E39/Баланс!E33</f>
        <v>0.1938090431353624</v>
      </c>
      <c r="G10" s="152"/>
      <c r="H10" s="141">
        <f t="shared" ref="H10:H12" si="0">E10-F10</f>
        <v>0.23937201058998564</v>
      </c>
      <c r="I10" s="141">
        <f t="shared" ref="I10:I12" si="1">E10-G10</f>
        <v>0.43318105372534804</v>
      </c>
      <c r="J10" s="139">
        <f t="shared" ref="J10:J12" si="2">IFERROR(E10/F10,"")</f>
        <v>2.235092061327606</v>
      </c>
      <c r="K10" s="140" t="str">
        <f t="shared" ref="K10:K12" si="3">IFERROR(E10/G10,"")</f>
        <v/>
      </c>
    </row>
    <row r="11" spans="1:14" ht="25.5">
      <c r="B11" s="134" t="s">
        <v>213</v>
      </c>
      <c r="C11" s="135" t="s">
        <v>293</v>
      </c>
      <c r="D11" s="151" t="s">
        <v>170</v>
      </c>
      <c r="E11" s="152">
        <f>(Баланс!D64+-Баланс!D61)/-Баланс!D61</f>
        <v>5.1806614337642936</v>
      </c>
      <c r="F11" s="152">
        <f>(Баланс!E64+-Баланс!E61)/-Баланс!E61</f>
        <v>8.3078542034882741</v>
      </c>
      <c r="G11" s="152"/>
      <c r="H11" s="141">
        <f t="shared" si="0"/>
        <v>-3.1271927697239805</v>
      </c>
      <c r="I11" s="141">
        <f t="shared" si="1"/>
        <v>5.1806614337642936</v>
      </c>
      <c r="J11" s="139">
        <f t="shared" si="2"/>
        <v>0.62358598344071259</v>
      </c>
      <c r="K11" s="140" t="str">
        <f t="shared" si="3"/>
        <v/>
      </c>
    </row>
    <row r="12" spans="1:14" ht="30">
      <c r="B12" s="134" t="s">
        <v>214</v>
      </c>
      <c r="C12" s="135" t="s">
        <v>295</v>
      </c>
      <c r="D12" s="151"/>
      <c r="E12" s="152" t="e">
        <f>(Баланс!D64+-Баланс!D61+#REF!)/(#REF!+-Баланс!D61)</f>
        <v>#REF!</v>
      </c>
      <c r="F12" s="152" t="e">
        <f>(Баланс!E64+-Баланс!E61+#REF!)/(#REF!+-Баланс!E61)</f>
        <v>#REF!</v>
      </c>
      <c r="G12" s="152"/>
      <c r="H12" s="141" t="e">
        <f t="shared" si="0"/>
        <v>#REF!</v>
      </c>
      <c r="I12" s="141" t="e">
        <f t="shared" si="1"/>
        <v>#REF!</v>
      </c>
      <c r="J12" s="139" t="str">
        <f t="shared" si="2"/>
        <v/>
      </c>
      <c r="K12" s="140" t="str">
        <f t="shared" si="3"/>
        <v/>
      </c>
    </row>
    <row r="13" spans="1:14" ht="15.75">
      <c r="B13" s="148" t="s">
        <v>247</v>
      </c>
      <c r="C13" s="149"/>
      <c r="D13" s="149"/>
      <c r="E13" s="149"/>
      <c r="F13" s="149"/>
      <c r="G13" s="149"/>
      <c r="H13" s="149"/>
      <c r="I13" s="149"/>
      <c r="J13" s="149"/>
      <c r="K13" s="150"/>
    </row>
    <row r="14" spans="1:14" ht="25.5">
      <c r="B14" s="134" t="s">
        <v>8</v>
      </c>
      <c r="C14" s="135" t="s">
        <v>151</v>
      </c>
      <c r="D14" s="151" t="s">
        <v>137</v>
      </c>
      <c r="E14" s="152">
        <f>Баланс!D33/Баланс!D24</f>
        <v>0.44678024986562126</v>
      </c>
      <c r="F14" s="152">
        <f>Баланс!E33/Баланс!E24</f>
        <v>0.43538516274244482</v>
      </c>
      <c r="G14" s="152"/>
      <c r="H14" s="141">
        <f t="shared" ref="H14" si="4">E14-F14</f>
        <v>1.1395087123176439E-2</v>
      </c>
      <c r="I14" s="141">
        <f t="shared" ref="I14" si="5">E14-G14</f>
        <v>0.44678024986562126</v>
      </c>
      <c r="J14" s="139">
        <f t="shared" ref="J14" si="6">IFERROR(E14/F14,"")</f>
        <v>1.0261724286868206</v>
      </c>
      <c r="K14" s="140" t="str">
        <f t="shared" ref="K14" si="7">IFERROR(E14/G14,"")</f>
        <v/>
      </c>
    </row>
    <row r="15" spans="1:14" ht="25.5">
      <c r="B15" s="134" t="s">
        <v>9</v>
      </c>
      <c r="C15" s="135" t="s">
        <v>182</v>
      </c>
      <c r="D15" s="151" t="s">
        <v>259</v>
      </c>
      <c r="E15" s="152">
        <f>(Баланс!D39+Баланс!D41+Баланс!D42+Баланс!D45)/Баланс!D33</f>
        <v>1.232344554711682</v>
      </c>
      <c r="F15" s="152">
        <f>(Баланс!E39+Баланс!E41+Баланс!E42+Баланс!E45)/Баланс!E33</f>
        <v>1.2929496211869933</v>
      </c>
      <c r="G15" s="152"/>
      <c r="H15" s="141">
        <f t="shared" ref="H15:H21" si="8">E15-F15</f>
        <v>-6.0605066475311276E-2</v>
      </c>
      <c r="I15" s="141">
        <f t="shared" ref="I15:I21" si="9">E15-G15</f>
        <v>1.232344554711682</v>
      </c>
      <c r="J15" s="139">
        <f t="shared" ref="J15:J21" si="10">IFERROR(E15/F15,"")</f>
        <v>0.9531265058729258</v>
      </c>
      <c r="K15" s="140" t="str">
        <f t="shared" ref="K15:K21" si="11">IFERROR(E15/G15,"")</f>
        <v/>
      </c>
    </row>
    <row r="16" spans="1:14" ht="25.5">
      <c r="B16" s="134" t="s">
        <v>10</v>
      </c>
      <c r="C16" s="135" t="s">
        <v>250</v>
      </c>
      <c r="D16" s="151" t="s">
        <v>251</v>
      </c>
      <c r="E16" s="152">
        <f>(Баланс!D41+Баланс!D42+Баланс!D45)/Баланс!D47</f>
        <v>0.35705046865415896</v>
      </c>
      <c r="F16" s="152">
        <f>(Баланс!E41+Баланс!E42+Баланс!E45)/Баланс!E47</f>
        <v>0.47854949945183417</v>
      </c>
      <c r="G16" s="152"/>
      <c r="H16" s="141">
        <f t="shared" si="8"/>
        <v>-0.12149903079767521</v>
      </c>
      <c r="I16" s="141">
        <f t="shared" si="9"/>
        <v>0.35705046865415896</v>
      </c>
      <c r="J16" s="139">
        <f t="shared" si="10"/>
        <v>0.74610979441656688</v>
      </c>
      <c r="K16" s="140" t="str">
        <f t="shared" si="11"/>
        <v/>
      </c>
    </row>
    <row r="17" spans="2:11" ht="45">
      <c r="B17" s="134" t="s">
        <v>11</v>
      </c>
      <c r="C17" s="135" t="s">
        <v>253</v>
      </c>
      <c r="D17" s="151" t="s">
        <v>154</v>
      </c>
      <c r="E17" s="152">
        <f>(Баланс!D33+Баланс!D39)/Баланс!D47</f>
        <v>0.64031698928608538</v>
      </c>
      <c r="F17" s="152">
        <f>(Баланс!E33+Баланс!E39)/Баланс!E47</f>
        <v>0.51976674452889204</v>
      </c>
      <c r="G17" s="152"/>
      <c r="H17" s="141">
        <f t="shared" si="8"/>
        <v>0.12055024475719334</v>
      </c>
      <c r="I17" s="141">
        <f t="shared" si="9"/>
        <v>0.64031698928608538</v>
      </c>
      <c r="J17" s="139">
        <f t="shared" si="10"/>
        <v>1.2319314308314551</v>
      </c>
      <c r="K17" s="140" t="str">
        <f t="shared" si="11"/>
        <v/>
      </c>
    </row>
    <row r="18" spans="2:11" ht="30">
      <c r="B18" s="134" t="s">
        <v>12</v>
      </c>
      <c r="C18" s="135" t="s">
        <v>255</v>
      </c>
      <c r="D18" s="151" t="s">
        <v>256</v>
      </c>
      <c r="E18" s="152">
        <f>Баланс!D33/(Баланс!D33+Баланс!D39)</f>
        <v>0.69774854851774926</v>
      </c>
      <c r="F18" s="152">
        <f>Баланс!E33/(Баланс!E33+Баланс!E39)</f>
        <v>0.83765490448426183</v>
      </c>
      <c r="G18" s="152"/>
      <c r="H18" s="141">
        <f t="shared" si="8"/>
        <v>-0.13990635596651257</v>
      </c>
      <c r="I18" s="141">
        <f t="shared" si="9"/>
        <v>0.69774854851774926</v>
      </c>
      <c r="J18" s="139">
        <f t="shared" si="10"/>
        <v>0.83297852705506226</v>
      </c>
      <c r="K18" s="140" t="str">
        <f t="shared" si="11"/>
        <v/>
      </c>
    </row>
    <row r="19" spans="2:11" ht="30">
      <c r="B19" s="134" t="s">
        <v>155</v>
      </c>
      <c r="C19" s="135" t="s">
        <v>258</v>
      </c>
      <c r="D19" s="151"/>
      <c r="E19" s="152">
        <f>(Баланс!D39+Баланс!D46)/Баланс!D33</f>
        <v>1.2382368072464516</v>
      </c>
      <c r="F19" s="152">
        <f>(Баланс!E39+Баланс!E46)/Баланс!E33</f>
        <v>1.2968169004683265</v>
      </c>
      <c r="G19" s="152"/>
      <c r="H19" s="141">
        <f t="shared" si="8"/>
        <v>-5.8580093221874963E-2</v>
      </c>
      <c r="I19" s="141">
        <f t="shared" si="9"/>
        <v>1.2382368072464516</v>
      </c>
      <c r="J19" s="139">
        <f t="shared" si="10"/>
        <v>0.9548277839371776</v>
      </c>
      <c r="K19" s="140" t="str">
        <f t="shared" si="11"/>
        <v/>
      </c>
    </row>
    <row r="20" spans="2:11" ht="15.75">
      <c r="B20" s="148" t="s">
        <v>267</v>
      </c>
      <c r="C20" s="149"/>
      <c r="D20" s="149"/>
      <c r="E20" s="149"/>
      <c r="F20" s="149"/>
      <c r="G20" s="149"/>
      <c r="H20" s="149"/>
      <c r="I20" s="149"/>
      <c r="J20" s="149"/>
      <c r="K20" s="150"/>
    </row>
    <row r="21" spans="2:11" ht="30">
      <c r="B21" s="134" t="s">
        <v>13</v>
      </c>
      <c r="C21" s="135" t="s">
        <v>188</v>
      </c>
      <c r="D21" s="151" t="s">
        <v>190</v>
      </c>
      <c r="E21" s="152">
        <f>(Баланс!D39+Баланс!D46)/Баланс!D33</f>
        <v>1.2382368072464516</v>
      </c>
      <c r="F21" s="152">
        <f>(Баланс!E39+Баланс!E46)/Баланс!E33</f>
        <v>1.2968169004683265</v>
      </c>
      <c r="G21" s="152"/>
      <c r="H21" s="141">
        <f t="shared" si="8"/>
        <v>-5.8580093221874963E-2</v>
      </c>
      <c r="I21" s="141">
        <f t="shared" si="9"/>
        <v>1.2382368072464516</v>
      </c>
      <c r="J21" s="139">
        <f t="shared" si="10"/>
        <v>0.9548277839371776</v>
      </c>
      <c r="K21" s="140" t="str">
        <f t="shared" si="11"/>
        <v/>
      </c>
    </row>
    <row r="22" spans="2:11" ht="30">
      <c r="B22" s="134" t="s">
        <v>14</v>
      </c>
      <c r="C22" s="135" t="s">
        <v>268</v>
      </c>
      <c r="D22" s="151" t="s">
        <v>148</v>
      </c>
      <c r="E22" s="152">
        <f>(Баланс!D33-Баланс!D15)/Баланс!D23</f>
        <v>-1.7927357816860319</v>
      </c>
      <c r="F22" s="152">
        <f>(Баланс!E33-Баланс!E15)/Баланс!E23</f>
        <v>-0.78789511606342966</v>
      </c>
      <c r="G22" s="152"/>
      <c r="H22" s="141">
        <f t="shared" ref="H22:H25" si="12">E22-F22</f>
        <v>-1.0048406656226021</v>
      </c>
      <c r="I22" s="141">
        <f t="shared" ref="I22:I25" si="13">E22-G22</f>
        <v>-1.7927357816860319</v>
      </c>
      <c r="J22" s="139">
        <f t="shared" ref="J22:J25" si="14">IFERROR(E22/F22,"")</f>
        <v>2.2753482603663042</v>
      </c>
      <c r="K22" s="140" t="str">
        <f t="shared" ref="K22:K25" si="15">IFERROR(E22/G22,"")</f>
        <v/>
      </c>
    </row>
    <row r="23" spans="2:11" ht="25.5">
      <c r="B23" s="134" t="s">
        <v>165</v>
      </c>
      <c r="C23" s="135" t="s">
        <v>262</v>
      </c>
      <c r="D23" s="151" t="s">
        <v>264</v>
      </c>
      <c r="E23" s="152">
        <f>Баланс!D33/Баланс!D24</f>
        <v>0.44678024986562126</v>
      </c>
      <c r="F23" s="152">
        <f>Баланс!E33/Баланс!E24</f>
        <v>0.43538516274244482</v>
      </c>
      <c r="G23" s="152"/>
      <c r="H23" s="141">
        <f t="shared" si="12"/>
        <v>1.1395087123176439E-2</v>
      </c>
      <c r="I23" s="141">
        <f t="shared" si="13"/>
        <v>0.44678024986562126</v>
      </c>
      <c r="J23" s="139">
        <f t="shared" si="14"/>
        <v>1.0261724286868206</v>
      </c>
      <c r="K23" s="140" t="str">
        <f t="shared" si="15"/>
        <v/>
      </c>
    </row>
    <row r="24" spans="2:11" ht="25.5">
      <c r="B24" s="134" t="s">
        <v>168</v>
      </c>
      <c r="C24" s="135" t="s">
        <v>152</v>
      </c>
      <c r="D24" s="151" t="s">
        <v>256</v>
      </c>
      <c r="E24" s="152">
        <f>Баланс!D33/(Баланс!D39+Баланс!D46)</f>
        <v>0.80759996322816918</v>
      </c>
      <c r="F24" s="152">
        <f>Баланс!E33/(Баланс!E39+Баланс!E46)</f>
        <v>0.77111888319689892</v>
      </c>
      <c r="G24" s="152"/>
      <c r="H24" s="141">
        <f t="shared" si="12"/>
        <v>3.6481080031270263E-2</v>
      </c>
      <c r="I24" s="141">
        <f t="shared" si="13"/>
        <v>0.80759996322816918</v>
      </c>
      <c r="J24" s="139">
        <f t="shared" si="14"/>
        <v>1.0473092811318889</v>
      </c>
      <c r="K24" s="140" t="str">
        <f t="shared" si="15"/>
        <v/>
      </c>
    </row>
    <row r="25" spans="2:11" ht="25.5">
      <c r="B25" s="142" t="s">
        <v>171</v>
      </c>
      <c r="C25" s="143" t="s">
        <v>208</v>
      </c>
      <c r="D25" s="167" t="s">
        <v>230</v>
      </c>
      <c r="E25" s="153">
        <f>(Баланс!D39+Баланс!D46)/Баланс!D24</f>
        <v>0.55321975013437874</v>
      </c>
      <c r="F25" s="153">
        <f>(Баланс!E39+Баланс!E46)/Баланс!E24</f>
        <v>0.56461483725755524</v>
      </c>
      <c r="G25" s="153"/>
      <c r="H25" s="168">
        <f t="shared" si="12"/>
        <v>-1.1395087123176495E-2</v>
      </c>
      <c r="I25" s="168">
        <f t="shared" si="13"/>
        <v>0.55321975013437874</v>
      </c>
      <c r="J25" s="145">
        <f t="shared" si="14"/>
        <v>0.97981794602046823</v>
      </c>
      <c r="K25" s="146" t="str">
        <f t="shared" si="15"/>
        <v/>
      </c>
    </row>
    <row r="26" spans="2:11" ht="15.75">
      <c r="B26" s="148" t="s">
        <v>286</v>
      </c>
      <c r="C26" s="149"/>
      <c r="D26" s="149"/>
      <c r="E26" s="149"/>
      <c r="F26" s="149"/>
      <c r="G26" s="149"/>
      <c r="H26" s="149"/>
      <c r="I26" s="149"/>
      <c r="J26" s="149"/>
      <c r="K26" s="150"/>
    </row>
    <row r="27" spans="2:11" ht="25.5">
      <c r="B27" s="186" t="s">
        <v>15</v>
      </c>
      <c r="C27" s="135" t="s">
        <v>112</v>
      </c>
      <c r="D27" s="151" t="s">
        <v>137</v>
      </c>
      <c r="E27" s="152">
        <f>Баланс!D33/Баланс!D24</f>
        <v>0.44678024986562126</v>
      </c>
      <c r="F27" s="152">
        <f>Баланс!E33/Баланс!E24</f>
        <v>0.43538516274244482</v>
      </c>
      <c r="G27" s="152"/>
      <c r="H27" s="141">
        <f t="shared" ref="H27:H33" si="16">E27-F27</f>
        <v>1.1395087123176439E-2</v>
      </c>
      <c r="I27" s="141">
        <f t="shared" ref="I27:I33" si="17">E27-G27</f>
        <v>0.44678024986562126</v>
      </c>
      <c r="J27" s="139">
        <f t="shared" ref="J27:J33" si="18">IFERROR(E27/F27,"")</f>
        <v>1.0261724286868206</v>
      </c>
      <c r="K27" s="140" t="str">
        <f t="shared" ref="K27:K33" si="19">IFERROR(E27/G27,"")</f>
        <v/>
      </c>
    </row>
    <row r="28" spans="2:11" ht="30">
      <c r="B28" s="134" t="s">
        <v>16</v>
      </c>
      <c r="C28" s="135" t="s">
        <v>278</v>
      </c>
      <c r="D28" s="151" t="s">
        <v>279</v>
      </c>
      <c r="E28" s="152">
        <f>(Баланс!D39+Баланс!D46)/Баланс!D33</f>
        <v>1.2382368072464516</v>
      </c>
      <c r="F28" s="152">
        <f>(Баланс!E39+Баланс!E46)/Баланс!E33</f>
        <v>1.2968169004683265</v>
      </c>
      <c r="G28" s="152"/>
      <c r="H28" s="141">
        <f t="shared" si="16"/>
        <v>-5.8580093221874963E-2</v>
      </c>
      <c r="I28" s="141">
        <f t="shared" si="17"/>
        <v>1.2382368072464516</v>
      </c>
      <c r="J28" s="139">
        <f t="shared" si="18"/>
        <v>0.9548277839371776</v>
      </c>
      <c r="K28" s="140" t="str">
        <f t="shared" si="19"/>
        <v/>
      </c>
    </row>
    <row r="29" spans="2:11" ht="30">
      <c r="B29" s="134" t="s">
        <v>287</v>
      </c>
      <c r="C29" s="135" t="s">
        <v>156</v>
      </c>
      <c r="D29" s="151"/>
      <c r="E29" s="152">
        <f>Баланс!D15/Баланс!D23</f>
        <v>4.048149096281664</v>
      </c>
      <c r="F29" s="152">
        <f>Баланс!E15/Баланс!E23</f>
        <v>2.1665748012354515</v>
      </c>
      <c r="G29" s="152"/>
      <c r="H29" s="141">
        <f t="shared" si="16"/>
        <v>1.8815742950462124</v>
      </c>
      <c r="I29" s="141">
        <f t="shared" si="17"/>
        <v>4.048149096281664</v>
      </c>
      <c r="J29" s="139">
        <f t="shared" si="18"/>
        <v>1.8684557274335867</v>
      </c>
      <c r="K29" s="140" t="str">
        <f t="shared" si="19"/>
        <v/>
      </c>
    </row>
    <row r="30" spans="2:11" ht="30">
      <c r="B30" s="134" t="s">
        <v>288</v>
      </c>
      <c r="C30" s="135" t="s">
        <v>130</v>
      </c>
      <c r="D30" s="151" t="s">
        <v>134</v>
      </c>
      <c r="E30" s="152">
        <f>(Баланс!D10+Баланс!D17+Баланс!D18)/Баланс!D24</f>
        <v>9.1016676154817931E-3</v>
      </c>
      <c r="F30" s="152">
        <f>(Баланс!E10+Баланс!E17+Баланс!E18)/Баланс!E24</f>
        <v>6.7674885066801235E-3</v>
      </c>
      <c r="G30" s="152"/>
      <c r="H30" s="141">
        <f t="shared" si="16"/>
        <v>2.3341791088016695E-3</v>
      </c>
      <c r="I30" s="141">
        <f t="shared" si="17"/>
        <v>9.1016676154817931E-3</v>
      </c>
      <c r="J30" s="139">
        <f t="shared" si="18"/>
        <v>1.3449106868076131</v>
      </c>
      <c r="K30" s="140" t="str">
        <f t="shared" si="19"/>
        <v/>
      </c>
    </row>
    <row r="31" spans="2:11">
      <c r="B31" s="134" t="s">
        <v>289</v>
      </c>
      <c r="C31" s="135" t="s">
        <v>280</v>
      </c>
      <c r="D31" s="151"/>
      <c r="E31" s="152">
        <f>Баланс!D42/Баланс!D46</f>
        <v>0.15134604322028691</v>
      </c>
      <c r="F31" s="152">
        <f>Баланс!E42/Баланс!E46</f>
        <v>0.2877595565285081</v>
      </c>
      <c r="G31" s="152"/>
      <c r="H31" s="141">
        <f t="shared" si="16"/>
        <v>-0.13641351330822118</v>
      </c>
      <c r="I31" s="141">
        <f t="shared" si="17"/>
        <v>0.15134604322028691</v>
      </c>
      <c r="J31" s="139">
        <f t="shared" si="18"/>
        <v>0.52594619287750111</v>
      </c>
      <c r="K31" s="140" t="str">
        <f t="shared" si="19"/>
        <v/>
      </c>
    </row>
    <row r="32" spans="2:11" ht="30">
      <c r="B32" s="134" t="s">
        <v>290</v>
      </c>
      <c r="C32" s="135" t="s">
        <v>282</v>
      </c>
      <c r="D32" s="151" t="s">
        <v>167</v>
      </c>
      <c r="E32" s="152">
        <f>(Баланс!D33-Баланс!D15)/Баланс!D33</f>
        <v>-0.79485909304718616</v>
      </c>
      <c r="F32" s="152">
        <f>(Баланс!E33-Баланс!E15)/Баланс!E33</f>
        <v>-0.57148525835072539</v>
      </c>
      <c r="G32" s="152"/>
      <c r="H32" s="141">
        <f t="shared" si="16"/>
        <v>-0.22337383469646077</v>
      </c>
      <c r="I32" s="141">
        <f t="shared" si="17"/>
        <v>-0.79485909304718616</v>
      </c>
      <c r="J32" s="139">
        <f t="shared" si="18"/>
        <v>1.3908654360413517</v>
      </c>
      <c r="K32" s="140" t="str">
        <f t="shared" si="19"/>
        <v/>
      </c>
    </row>
    <row r="33" spans="2:11" ht="30">
      <c r="B33" s="142" t="s">
        <v>291</v>
      </c>
      <c r="C33" s="143" t="s">
        <v>283</v>
      </c>
      <c r="D33" s="167"/>
      <c r="E33" s="153">
        <f>(Баланс!D33-Баланс!D15)/(Баланс!D17+Баланс!D18)</f>
        <v>-2117.4559777827608</v>
      </c>
      <c r="F33" s="153">
        <f>(Баланс!E33-Баланс!E15)/(Баланс!E17+Баланс!E18)</f>
        <v>-1293.8132877209837</v>
      </c>
      <c r="G33" s="153"/>
      <c r="H33" s="168">
        <f t="shared" si="16"/>
        <v>-823.6426900617771</v>
      </c>
      <c r="I33" s="168">
        <f t="shared" si="17"/>
        <v>-2117.4559777827608</v>
      </c>
      <c r="J33" s="145">
        <f t="shared" si="18"/>
        <v>1.6366008896945254</v>
      </c>
      <c r="K33" s="146" t="str">
        <f t="shared" si="19"/>
        <v/>
      </c>
    </row>
    <row r="34" spans="2:11" s="106" customFormat="1" ht="12.75">
      <c r="B34" s="147"/>
    </row>
  </sheetData>
  <mergeCells count="6">
    <mergeCell ref="J3:K3"/>
    <mergeCell ref="B3:B4"/>
    <mergeCell ref="C3:C4"/>
    <mergeCell ref="D3:D4"/>
    <mergeCell ref="E3:G3"/>
    <mergeCell ref="H3:I3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94" orientation="landscape" verticalDpi="0" r:id="rId1"/>
  <rowBreaks count="1" manualBreakCount="1">
    <brk id="19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J34"/>
  <sheetViews>
    <sheetView topLeftCell="A19" zoomScaleNormal="100" zoomScaleSheetLayoutView="115" workbookViewId="0">
      <selection activeCell="A35" sqref="A35:XFD36"/>
    </sheetView>
  </sheetViews>
  <sheetFormatPr defaultRowHeight="15"/>
  <cols>
    <col min="1" max="1" width="1.7109375" style="1" customWidth="1"/>
    <col min="2" max="2" width="4.7109375" style="1" customWidth="1"/>
    <col min="3" max="3" width="50.42578125" style="1" customWidth="1"/>
    <col min="4" max="8" width="12.7109375" style="1" customWidth="1"/>
    <col min="9" max="10" width="10.7109375" style="1" customWidth="1"/>
    <col min="11" max="11" width="1.7109375" style="1" customWidth="1"/>
    <col min="12" max="16384" width="9.140625" style="1"/>
  </cols>
  <sheetData>
    <row r="1" spans="1:10" s="8" customFormat="1" ht="18.75">
      <c r="A1" s="8" t="s">
        <v>369</v>
      </c>
    </row>
    <row r="2" spans="1:10" s="154" customFormat="1"/>
    <row r="3" spans="1:10" s="66" customFormat="1" ht="15.75">
      <c r="A3" s="66" t="s">
        <v>432</v>
      </c>
    </row>
    <row r="4" spans="1:10">
      <c r="B4" s="275" t="s">
        <v>139</v>
      </c>
      <c r="C4" s="282" t="s">
        <v>80</v>
      </c>
      <c r="D4" s="282" t="s">
        <v>141</v>
      </c>
      <c r="E4" s="282"/>
      <c r="F4" s="282"/>
      <c r="G4" s="280" t="str">
        <f>"Изменение, "&amp;Меню!$Q$4</f>
        <v>Изменение, тыс. руб.</v>
      </c>
      <c r="H4" s="281"/>
      <c r="I4" s="280" t="s">
        <v>143</v>
      </c>
      <c r="J4" s="281"/>
    </row>
    <row r="5" spans="1:10" ht="24">
      <c r="B5" s="276"/>
      <c r="C5" s="282"/>
      <c r="D5" s="61" t="str">
        <f>Меню!$N$7</f>
        <v>2020г.</v>
      </c>
      <c r="E5" s="61" t="str">
        <f>Меню!$N$6</f>
        <v>2019г.</v>
      </c>
      <c r="F5" s="61">
        <f>Меню!$N$5</f>
        <v>0</v>
      </c>
      <c r="G5" s="61" t="str">
        <f>Меню!$N$7&amp;" - "&amp;Меню!$N$6</f>
        <v>2020г. - 2019г.</v>
      </c>
      <c r="H5" s="61" t="str">
        <f>Меню!$N$7&amp;" - "&amp;Меню!$N$5</f>
        <v xml:space="preserve">2020г. - </v>
      </c>
      <c r="I5" s="61" t="str">
        <f>Меню!$N$7&amp;" / "&amp;Меню!$N$6</f>
        <v>2020г. / 2019г.</v>
      </c>
      <c r="J5" s="61" t="str">
        <f>Меню!$N$7&amp;" / "&amp;Меню!$N$5</f>
        <v xml:space="preserve">2020г. / </v>
      </c>
    </row>
    <row r="6" spans="1:10">
      <c r="B6" s="127">
        <v>1</v>
      </c>
      <c r="C6" s="128" t="s">
        <v>160</v>
      </c>
      <c r="D6" s="254">
        <f>(Баланс!D20+Баланс!D21)/(Баланс!D41+Баланс!D42+Баланс!D45)</f>
        <v>0.20035308984181993</v>
      </c>
      <c r="E6" s="254">
        <f>(Баланс!E20+Баланс!E21)/(Баланс!E41+Баланс!E42+Баланс!E45)</f>
        <v>0.28439745900379548</v>
      </c>
      <c r="F6" s="254" t="e">
        <f>(Баланс!F20+Баланс!F21)/(Баланс!F41+Баланс!F42+Баланс!F45)</f>
        <v>#DIV/0!</v>
      </c>
      <c r="G6" s="255">
        <f t="shared" ref="G6:G11" si="0">D6-E6</f>
        <v>-8.4044369161975552E-2</v>
      </c>
      <c r="H6" s="255" t="e">
        <f t="shared" ref="H6:H11" si="1">D6-F6</f>
        <v>#DIV/0!</v>
      </c>
      <c r="I6" s="132">
        <f t="shared" ref="I6:I11" si="2">IFERROR(D6/E6,"")</f>
        <v>0.70448270017470893</v>
      </c>
      <c r="J6" s="133" t="str">
        <f t="shared" ref="J6:J11" si="3">IFERROR(D6/F6,"")</f>
        <v/>
      </c>
    </row>
    <row r="7" spans="1:10">
      <c r="B7" s="134">
        <v>2</v>
      </c>
      <c r="C7" s="135" t="s">
        <v>159</v>
      </c>
      <c r="D7" s="152">
        <f>(Баланс!D20+Баланс!D21+Баланс!D21)/(Баланс!D41+Баланс!D42+Баланс!D45)</f>
        <v>0.22622217865357047</v>
      </c>
      <c r="E7" s="152">
        <f>(Баланс!E20+Баланс!E21+Баланс!E21)/(Баланс!E41+Баланс!E42+Баланс!E45)</f>
        <v>0.52037053436046077</v>
      </c>
      <c r="F7" s="152" t="e">
        <f>(Баланс!F20+Баланс!F21+Баланс!F21)/(Баланс!F41+Баланс!F42+Баланс!F45)</f>
        <v>#DIV/0!</v>
      </c>
      <c r="G7" s="141">
        <f t="shared" si="0"/>
        <v>-0.2941483557068903</v>
      </c>
      <c r="H7" s="141" t="e">
        <f t="shared" si="1"/>
        <v>#DIV/0!</v>
      </c>
      <c r="I7" s="139">
        <f t="shared" si="2"/>
        <v>0.43473287535697847</v>
      </c>
      <c r="J7" s="140" t="str">
        <f t="shared" si="3"/>
        <v/>
      </c>
    </row>
    <row r="8" spans="1:10">
      <c r="B8" s="134">
        <v>3</v>
      </c>
      <c r="C8" s="135" t="s">
        <v>157</v>
      </c>
      <c r="D8" s="152">
        <f>Баланс!D23/(Баланс!D41+Баланс!D42+Баланс!D45)</f>
        <v>0.55480225717521525</v>
      </c>
      <c r="E8" s="152">
        <f>Баланс!E23/(Баланс!E41+Баланс!E42+Баланс!E45)</f>
        <v>0.65990798320206279</v>
      </c>
      <c r="F8" s="152" t="e">
        <f>Баланс!F23/(Баланс!F41+Баланс!F42+Баланс!F45)</f>
        <v>#DIV/0!</v>
      </c>
      <c r="G8" s="141">
        <f t="shared" si="0"/>
        <v>-0.10510572602684753</v>
      </c>
      <c r="H8" s="141" t="e">
        <f t="shared" si="1"/>
        <v>#DIV/0!</v>
      </c>
      <c r="I8" s="139">
        <f t="shared" si="2"/>
        <v>0.84072669417205048</v>
      </c>
      <c r="J8" s="140" t="str">
        <f t="shared" si="3"/>
        <v/>
      </c>
    </row>
    <row r="9" spans="1:10">
      <c r="B9" s="134">
        <v>4</v>
      </c>
      <c r="C9" s="135" t="s">
        <v>262</v>
      </c>
      <c r="D9" s="152">
        <f>Баланс!D33/Баланс!D24</f>
        <v>0.44678024986562126</v>
      </c>
      <c r="E9" s="152">
        <f>Баланс!E33/Баланс!E24</f>
        <v>0.43538516274244482</v>
      </c>
      <c r="F9" s="152" t="e">
        <f>Баланс!F33/Баланс!F24</f>
        <v>#DIV/0!</v>
      </c>
      <c r="G9" s="141">
        <f t="shared" si="0"/>
        <v>1.1395087123176439E-2</v>
      </c>
      <c r="H9" s="141" t="e">
        <f t="shared" si="1"/>
        <v>#DIV/0!</v>
      </c>
      <c r="I9" s="139">
        <f t="shared" si="2"/>
        <v>1.0261724286868206</v>
      </c>
      <c r="J9" s="140" t="str">
        <f t="shared" si="3"/>
        <v/>
      </c>
    </row>
    <row r="10" spans="1:10" ht="30">
      <c r="B10" s="134">
        <v>5</v>
      </c>
      <c r="C10" s="135" t="s">
        <v>368</v>
      </c>
      <c r="D10" s="152">
        <f>(Баланс!D33-Баланс!D15)/Баланс!D23</f>
        <v>-1.7927357816860319</v>
      </c>
      <c r="E10" s="152">
        <f>(Баланс!E33-Баланс!E15)/Баланс!E23</f>
        <v>-0.78789511606342966</v>
      </c>
      <c r="F10" s="152" t="e">
        <f>(Баланс!F33-Баланс!F15)/Баланс!F23</f>
        <v>#DIV/0!</v>
      </c>
      <c r="G10" s="141">
        <f t="shared" si="0"/>
        <v>-1.0048406656226021</v>
      </c>
      <c r="H10" s="141" t="e">
        <f t="shared" si="1"/>
        <v>#DIV/0!</v>
      </c>
      <c r="I10" s="139">
        <f t="shared" si="2"/>
        <v>2.2753482603663042</v>
      </c>
      <c r="J10" s="140" t="str">
        <f t="shared" si="3"/>
        <v/>
      </c>
    </row>
    <row r="11" spans="1:10" ht="30">
      <c r="B11" s="142">
        <v>6</v>
      </c>
      <c r="C11" s="143" t="s">
        <v>370</v>
      </c>
      <c r="D11" s="153">
        <f>(Баланс!D33-Баланс!D15)/(Баланс!D17+Баланс!D18)</f>
        <v>-2117.4559777827608</v>
      </c>
      <c r="E11" s="153">
        <f>(Баланс!E33-Баланс!E15)/(Баланс!E17+Баланс!E18)</f>
        <v>-1293.8132877209837</v>
      </c>
      <c r="F11" s="153" t="e">
        <f>(Баланс!F33-Баланс!F15)/(Баланс!F17+Баланс!F18)</f>
        <v>#DIV/0!</v>
      </c>
      <c r="G11" s="168">
        <f t="shared" si="0"/>
        <v>-823.6426900617771</v>
      </c>
      <c r="H11" s="168" t="e">
        <f t="shared" si="1"/>
        <v>#DIV/0!</v>
      </c>
      <c r="I11" s="145">
        <f t="shared" si="2"/>
        <v>1.6366008896945254</v>
      </c>
      <c r="J11" s="146" t="str">
        <f t="shared" si="3"/>
        <v/>
      </c>
    </row>
    <row r="13" spans="1:10" s="66" customFormat="1" ht="15.75">
      <c r="A13" s="66" t="s">
        <v>431</v>
      </c>
    </row>
    <row r="14" spans="1:10">
      <c r="B14" s="285" t="s">
        <v>139</v>
      </c>
      <c r="C14" s="284" t="s">
        <v>80</v>
      </c>
      <c r="D14" s="284" t="s">
        <v>384</v>
      </c>
      <c r="E14" s="284" t="s">
        <v>385</v>
      </c>
      <c r="F14" s="284"/>
      <c r="G14" s="284"/>
      <c r="H14" s="284"/>
      <c r="I14" s="284"/>
      <c r="J14" s="284"/>
    </row>
    <row r="15" spans="1:10" ht="33.75">
      <c r="B15" s="285"/>
      <c r="C15" s="284"/>
      <c r="D15" s="284"/>
      <c r="E15" s="62" t="s">
        <v>386</v>
      </c>
      <c r="F15" s="62" t="s">
        <v>387</v>
      </c>
      <c r="G15" s="62" t="s">
        <v>388</v>
      </c>
      <c r="H15" s="62" t="s">
        <v>389</v>
      </c>
      <c r="I15" s="62" t="s">
        <v>441</v>
      </c>
      <c r="J15" s="62" t="s">
        <v>390</v>
      </c>
    </row>
    <row r="16" spans="1:10" ht="60">
      <c r="B16" s="134">
        <v>1</v>
      </c>
      <c r="C16" s="247" t="s">
        <v>160</v>
      </c>
      <c r="D16" s="248" t="s">
        <v>391</v>
      </c>
      <c r="E16" s="248" t="s">
        <v>392</v>
      </c>
      <c r="F16" s="248" t="s">
        <v>393</v>
      </c>
      <c r="G16" s="248" t="s">
        <v>394</v>
      </c>
      <c r="H16" s="248" t="s">
        <v>395</v>
      </c>
      <c r="I16" s="248" t="s">
        <v>396</v>
      </c>
      <c r="J16" s="249" t="s">
        <v>397</v>
      </c>
    </row>
    <row r="17" spans="2:10" ht="60">
      <c r="B17" s="134">
        <f>B16+1</f>
        <v>2</v>
      </c>
      <c r="C17" s="246" t="s">
        <v>159</v>
      </c>
      <c r="D17" s="159" t="s">
        <v>398</v>
      </c>
      <c r="E17" s="159" t="s">
        <v>399</v>
      </c>
      <c r="F17" s="159" t="s">
        <v>400</v>
      </c>
      <c r="G17" s="159" t="s">
        <v>401</v>
      </c>
      <c r="H17" s="159" t="s">
        <v>402</v>
      </c>
      <c r="I17" s="159" t="s">
        <v>403</v>
      </c>
      <c r="J17" s="250" t="s">
        <v>404</v>
      </c>
    </row>
    <row r="18" spans="2:10" ht="60">
      <c r="B18" s="134">
        <f t="shared" ref="B18:B20" si="4">B17+1</f>
        <v>3</v>
      </c>
      <c r="C18" s="246" t="s">
        <v>157</v>
      </c>
      <c r="D18" s="159" t="s">
        <v>405</v>
      </c>
      <c r="E18" s="159" t="s">
        <v>406</v>
      </c>
      <c r="F18" s="159" t="s">
        <v>407</v>
      </c>
      <c r="G18" s="159" t="s">
        <v>408</v>
      </c>
      <c r="H18" s="159" t="s">
        <v>409</v>
      </c>
      <c r="I18" s="159" t="s">
        <v>410</v>
      </c>
      <c r="J18" s="250" t="s">
        <v>404</v>
      </c>
    </row>
    <row r="19" spans="2:10" ht="60">
      <c r="B19" s="134">
        <f t="shared" si="4"/>
        <v>4</v>
      </c>
      <c r="C19" s="246" t="s">
        <v>262</v>
      </c>
      <c r="D19" s="159" t="s">
        <v>411</v>
      </c>
      <c r="E19" s="159" t="s">
        <v>412</v>
      </c>
      <c r="F19" s="159" t="s">
        <v>413</v>
      </c>
      <c r="G19" s="159" t="s">
        <v>414</v>
      </c>
      <c r="H19" s="159" t="s">
        <v>415</v>
      </c>
      <c r="I19" s="159" t="s">
        <v>416</v>
      </c>
      <c r="J19" s="250" t="s">
        <v>417</v>
      </c>
    </row>
    <row r="20" spans="2:10" ht="60">
      <c r="B20" s="134">
        <f t="shared" si="4"/>
        <v>5</v>
      </c>
      <c r="C20" s="246" t="s">
        <v>368</v>
      </c>
      <c r="D20" s="159" t="s">
        <v>418</v>
      </c>
      <c r="E20" s="159" t="s">
        <v>419</v>
      </c>
      <c r="F20" s="159" t="s">
        <v>420</v>
      </c>
      <c r="G20" s="159" t="s">
        <v>421</v>
      </c>
      <c r="H20" s="159" t="s">
        <v>422</v>
      </c>
      <c r="I20" s="159" t="s">
        <v>423</v>
      </c>
      <c r="J20" s="250" t="s">
        <v>397</v>
      </c>
    </row>
    <row r="21" spans="2:10" ht="60">
      <c r="B21" s="142">
        <f>B20+1</f>
        <v>6</v>
      </c>
      <c r="C21" s="251" t="s">
        <v>370</v>
      </c>
      <c r="D21" s="252" t="s">
        <v>424</v>
      </c>
      <c r="E21" s="252" t="s">
        <v>425</v>
      </c>
      <c r="F21" s="252" t="s">
        <v>426</v>
      </c>
      <c r="G21" s="252" t="s">
        <v>427</v>
      </c>
      <c r="H21" s="252" t="s">
        <v>428</v>
      </c>
      <c r="I21" s="252" t="s">
        <v>429</v>
      </c>
      <c r="J21" s="253" t="s">
        <v>430</v>
      </c>
    </row>
    <row r="22" spans="2:10">
      <c r="B22" s="262"/>
      <c r="C22" s="263" t="s">
        <v>433</v>
      </c>
      <c r="D22" s="61"/>
      <c r="E22" s="61" t="s">
        <v>434</v>
      </c>
      <c r="F22" s="61" t="s">
        <v>435</v>
      </c>
      <c r="G22" s="61" t="s">
        <v>436</v>
      </c>
      <c r="H22" s="61" t="s">
        <v>437</v>
      </c>
      <c r="I22" s="61" t="s">
        <v>438</v>
      </c>
      <c r="J22" s="61" t="s">
        <v>439</v>
      </c>
    </row>
    <row r="24" spans="2:10" ht="15" customHeight="1">
      <c r="B24" s="275" t="s">
        <v>139</v>
      </c>
      <c r="C24" s="282" t="s">
        <v>80</v>
      </c>
      <c r="D24" s="282" t="s">
        <v>141</v>
      </c>
      <c r="E24" s="282"/>
      <c r="F24" s="282"/>
    </row>
    <row r="25" spans="2:10">
      <c r="B25" s="276"/>
      <c r="C25" s="282"/>
      <c r="D25" s="61" t="str">
        <f>Меню!$N$7</f>
        <v>2020г.</v>
      </c>
      <c r="E25" s="61" t="str">
        <f>Меню!$N$6</f>
        <v>2019г.</v>
      </c>
      <c r="F25" s="61">
        <f>Меню!$N$5</f>
        <v>0</v>
      </c>
    </row>
    <row r="26" spans="2:10">
      <c r="B26" s="127">
        <v>1</v>
      </c>
      <c r="C26" s="128" t="s">
        <v>160</v>
      </c>
      <c r="D26" s="256">
        <v>20</v>
      </c>
      <c r="E26" s="256">
        <v>20</v>
      </c>
      <c r="F26" s="259">
        <v>20</v>
      </c>
      <c r="H26" s="1" t="s">
        <v>443</v>
      </c>
    </row>
    <row r="27" spans="2:10">
      <c r="B27" s="134">
        <v>2</v>
      </c>
      <c r="C27" s="135" t="s">
        <v>159</v>
      </c>
      <c r="D27" s="257">
        <v>18</v>
      </c>
      <c r="E27" s="257">
        <v>18</v>
      </c>
      <c r="F27" s="260">
        <v>18</v>
      </c>
      <c r="H27" s="1" t="s">
        <v>445</v>
      </c>
    </row>
    <row r="28" spans="2:10">
      <c r="B28" s="134">
        <v>3</v>
      </c>
      <c r="C28" s="135" t="s">
        <v>157</v>
      </c>
      <c r="D28" s="257">
        <v>16.5</v>
      </c>
      <c r="E28" s="257">
        <v>16.5</v>
      </c>
      <c r="F28" s="260">
        <v>16.5</v>
      </c>
      <c r="H28" s="1" t="s">
        <v>444</v>
      </c>
    </row>
    <row r="29" spans="2:10">
      <c r="B29" s="134">
        <v>4</v>
      </c>
      <c r="C29" s="135" t="s">
        <v>262</v>
      </c>
      <c r="D29" s="257">
        <v>17</v>
      </c>
      <c r="E29" s="257">
        <v>17</v>
      </c>
      <c r="F29" s="260">
        <v>17</v>
      </c>
    </row>
    <row r="30" spans="2:10" ht="30">
      <c r="B30" s="134">
        <v>5</v>
      </c>
      <c r="C30" s="135" t="s">
        <v>368</v>
      </c>
      <c r="D30" s="257">
        <v>15</v>
      </c>
      <c r="E30" s="257">
        <v>15</v>
      </c>
      <c r="F30" s="260">
        <v>15</v>
      </c>
    </row>
    <row r="31" spans="2:10" ht="30">
      <c r="B31" s="142">
        <v>6</v>
      </c>
      <c r="C31" s="143" t="s">
        <v>370</v>
      </c>
      <c r="D31" s="258">
        <v>13.5</v>
      </c>
      <c r="E31" s="258">
        <v>13.5</v>
      </c>
      <c r="F31" s="261">
        <v>13.5</v>
      </c>
    </row>
    <row r="32" spans="2:10">
      <c r="B32" s="142"/>
      <c r="C32" s="264" t="s">
        <v>440</v>
      </c>
      <c r="D32" s="265">
        <f t="shared" ref="D32:F32" si="5">SUM(D26:D31)</f>
        <v>100</v>
      </c>
      <c r="E32" s="265">
        <f t="shared" si="5"/>
        <v>100</v>
      </c>
      <c r="F32" s="266">
        <f t="shared" si="5"/>
        <v>100</v>
      </c>
    </row>
    <row r="34" spans="3:6">
      <c r="C34" s="4" t="s">
        <v>442</v>
      </c>
      <c r="D34" s="267" t="str">
        <f>IF(D32&gt;=94,E15,IF(AND(D32&gt;=65,D32&lt;=94),F15,IF(AND(D32&gt;=52,D32&lt;=64),G15,IF(AND(D32&gt;=21,D32&lt;=51),H15,IF(AND(D32&gt;=0,D32&lt;=20),I15,J15)))))</f>
        <v>1-й класс</v>
      </c>
      <c r="E34" s="267" t="str">
        <f>IF(E32&gt;=94,E15,IF(AND(E32&gt;=65,E32&lt;=94),F15,IF(AND(E32&gt;=52,E32&lt;=64),G15,IF(AND(E32&gt;=21,E32&lt;=51),H15,IF(AND(E32&gt;=0,E32&lt;=20),I15,J15)))))</f>
        <v>1-й класс</v>
      </c>
      <c r="F34" s="267" t="str">
        <f>IF(F32&gt;=94,E15,IF(AND(F32&gt;=65,F32&lt;=94),F15,IF(AND(F32&gt;=52,F32&lt;=64),G15,IF(AND(F32&gt;=21,F32&lt;=51),H15,IF(AND(F32&gt;=0,F32&lt;=20),I15,J15)))))</f>
        <v>1-й класс</v>
      </c>
    </row>
  </sheetData>
  <mergeCells count="12">
    <mergeCell ref="E14:J14"/>
    <mergeCell ref="C14:C15"/>
    <mergeCell ref="D14:D15"/>
    <mergeCell ref="B14:B15"/>
    <mergeCell ref="B24:B25"/>
    <mergeCell ref="C24:C25"/>
    <mergeCell ref="D24:F24"/>
    <mergeCell ref="B4:B5"/>
    <mergeCell ref="C4:C5"/>
    <mergeCell ref="D4:F4"/>
    <mergeCell ref="G4:H4"/>
    <mergeCell ref="I4:J4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95" orientation="landscape" verticalDpi="0" r:id="rId1"/>
  <rowBreaks count="2" manualBreakCount="2">
    <brk id="12" max="10" man="1"/>
    <brk id="23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N35"/>
  <sheetViews>
    <sheetView zoomScaleNormal="100" zoomScaleSheetLayoutView="100" workbookViewId="0">
      <selection activeCell="A34" sqref="A34:XFD35"/>
    </sheetView>
  </sheetViews>
  <sheetFormatPr defaultRowHeight="15"/>
  <cols>
    <col min="1" max="1" width="1.7109375" style="1" customWidth="1"/>
    <col min="2" max="2" width="4.7109375" style="1" customWidth="1"/>
    <col min="3" max="3" width="50.42578125" style="1" customWidth="1"/>
    <col min="4" max="4" width="9.28515625" style="1" customWidth="1"/>
    <col min="5" max="9" width="12.7109375" style="1" customWidth="1"/>
    <col min="10" max="11" width="10.7109375" style="1" customWidth="1"/>
    <col min="12" max="12" width="1.7109375" style="1" customWidth="1"/>
    <col min="13" max="16384" width="9.140625" style="1"/>
  </cols>
  <sheetData>
    <row r="1" spans="1:14" s="8" customFormat="1" ht="18.75">
      <c r="A1" s="8" t="s">
        <v>269</v>
      </c>
    </row>
    <row r="3" spans="1:14" ht="30" customHeight="1">
      <c r="B3" s="275" t="s">
        <v>139</v>
      </c>
      <c r="C3" s="282" t="s">
        <v>80</v>
      </c>
      <c r="D3" s="275" t="s">
        <v>133</v>
      </c>
      <c r="E3" s="282" t="s">
        <v>141</v>
      </c>
      <c r="F3" s="282"/>
      <c r="G3" s="282"/>
      <c r="H3" s="280" t="str">
        <f>"Изменение, "&amp;Меню!$Q$4</f>
        <v>Изменение, тыс. руб.</v>
      </c>
      <c r="I3" s="281"/>
      <c r="J3" s="280" t="s">
        <v>143</v>
      </c>
      <c r="K3" s="281"/>
    </row>
    <row r="4" spans="1:14" ht="24">
      <c r="B4" s="276"/>
      <c r="C4" s="282"/>
      <c r="D4" s="276"/>
      <c r="E4" s="61" t="str">
        <f>Меню!$N$7</f>
        <v>2020г.</v>
      </c>
      <c r="F4" s="61" t="str">
        <f>Меню!$N$6</f>
        <v>2019г.</v>
      </c>
      <c r="G4" s="61">
        <f>Меню!$N$5</f>
        <v>0</v>
      </c>
      <c r="H4" s="61" t="str">
        <f>Меню!$N$7&amp;" - "&amp;Меню!$N$6</f>
        <v>2020г. - 2019г.</v>
      </c>
      <c r="I4" s="61" t="str">
        <f>Меню!$N$7&amp;" - "&amp;Меню!$N$5</f>
        <v xml:space="preserve">2020г. - </v>
      </c>
      <c r="J4" s="61" t="str">
        <f>Меню!$N$7&amp;" / "&amp;Меню!$N$6</f>
        <v>2020г. / 2019г.</v>
      </c>
      <c r="K4" s="61" t="str">
        <f>Меню!$N$7&amp;" / "&amp;Меню!$N$5</f>
        <v xml:space="preserve">2020г. / </v>
      </c>
      <c r="M4" s="57"/>
      <c r="N4" s="57"/>
    </row>
    <row r="5" spans="1:14" ht="15.75">
      <c r="B5" s="148" t="s">
        <v>163</v>
      </c>
      <c r="C5" s="149"/>
      <c r="D5" s="149"/>
      <c r="E5" s="149"/>
      <c r="F5" s="149"/>
      <c r="G5" s="149"/>
      <c r="H5" s="149"/>
      <c r="I5" s="149"/>
      <c r="J5" s="149"/>
      <c r="K5" s="150"/>
    </row>
    <row r="6" spans="1:14">
      <c r="B6" s="134" t="s">
        <v>4</v>
      </c>
      <c r="C6" s="135" t="s">
        <v>108</v>
      </c>
      <c r="D6" s="151" t="str">
        <f>Меню!$Q$4</f>
        <v>тыс. руб.</v>
      </c>
      <c r="E6" s="137">
        <f>Баланс!D33</f>
        <v>772182620</v>
      </c>
      <c r="F6" s="137">
        <f>Баланс!E33</f>
        <v>966219331</v>
      </c>
      <c r="G6" s="137">
        <f>Баланс!F33</f>
        <v>0</v>
      </c>
      <c r="H6" s="138">
        <f t="shared" ref="H6:H10" si="0">E6-F6</f>
        <v>-194036711</v>
      </c>
      <c r="I6" s="138">
        <f t="shared" ref="I6:I10" si="1">E6-G6</f>
        <v>772182620</v>
      </c>
      <c r="J6" s="139">
        <f t="shared" ref="J6:J10" si="2">IFERROR(E6/F6,"")</f>
        <v>0.79917943599909202</v>
      </c>
      <c r="K6" s="140" t="str">
        <f t="shared" ref="K6:K10" si="3">IFERROR(E6/G6,"")</f>
        <v/>
      </c>
    </row>
    <row r="7" spans="1:14">
      <c r="B7" s="134" t="s">
        <v>5</v>
      </c>
      <c r="C7" s="135" t="s">
        <v>270</v>
      </c>
      <c r="D7" s="151" t="str">
        <f>Меню!$Q$4</f>
        <v>тыс. руб.</v>
      </c>
      <c r="E7" s="137">
        <f>Баланс!D39</f>
        <v>334494881</v>
      </c>
      <c r="F7" s="137">
        <f>Баланс!E39</f>
        <v>187262044</v>
      </c>
      <c r="G7" s="137">
        <f>Баланс!F39</f>
        <v>0</v>
      </c>
      <c r="H7" s="138">
        <f t="shared" si="0"/>
        <v>147232837</v>
      </c>
      <c r="I7" s="138">
        <f t="shared" si="1"/>
        <v>334494881</v>
      </c>
      <c r="J7" s="139">
        <f t="shared" si="2"/>
        <v>1.7862396129778439</v>
      </c>
      <c r="K7" s="140" t="str">
        <f t="shared" si="3"/>
        <v/>
      </c>
    </row>
    <row r="8" spans="1:14">
      <c r="B8" s="134" t="s">
        <v>6</v>
      </c>
      <c r="C8" s="135" t="s">
        <v>271</v>
      </c>
      <c r="D8" s="151" t="str">
        <f>Меню!$Q$4</f>
        <v>тыс. руб.</v>
      </c>
      <c r="E8" s="137">
        <f>Баланс!D46</f>
        <v>621650061</v>
      </c>
      <c r="F8" s="137">
        <f>Баланс!E46</f>
        <v>1065747514</v>
      </c>
      <c r="G8" s="137">
        <f>Баланс!F46</f>
        <v>0</v>
      </c>
      <c r="H8" s="138">
        <f t="shared" si="0"/>
        <v>-444097453</v>
      </c>
      <c r="I8" s="138">
        <f t="shared" si="1"/>
        <v>621650061</v>
      </c>
      <c r="J8" s="139">
        <f t="shared" si="2"/>
        <v>0.583299564703465</v>
      </c>
      <c r="K8" s="140" t="str">
        <f t="shared" si="3"/>
        <v/>
      </c>
    </row>
    <row r="9" spans="1:14">
      <c r="B9" s="134" t="s">
        <v>7</v>
      </c>
      <c r="C9" s="135" t="s">
        <v>235</v>
      </c>
      <c r="D9" s="151" t="str">
        <f>Меню!$Q$4</f>
        <v>тыс. руб.</v>
      </c>
      <c r="E9" s="138">
        <f>E7+E8</f>
        <v>956144942</v>
      </c>
      <c r="F9" s="138">
        <f t="shared" ref="F9:G9" si="4">F7+F8</f>
        <v>1253009558</v>
      </c>
      <c r="G9" s="138">
        <f t="shared" si="4"/>
        <v>0</v>
      </c>
      <c r="H9" s="138">
        <f t="shared" si="0"/>
        <v>-296864616</v>
      </c>
      <c r="I9" s="138">
        <f t="shared" si="1"/>
        <v>956144942</v>
      </c>
      <c r="J9" s="139">
        <f t="shared" si="2"/>
        <v>0.76307872984317648</v>
      </c>
      <c r="K9" s="140" t="str">
        <f t="shared" si="3"/>
        <v/>
      </c>
    </row>
    <row r="10" spans="1:14">
      <c r="B10" s="134" t="s">
        <v>149</v>
      </c>
      <c r="C10" s="135" t="s">
        <v>272</v>
      </c>
      <c r="D10" s="151" t="str">
        <f>Меню!$Q$4</f>
        <v>тыс. руб.</v>
      </c>
      <c r="E10" s="138">
        <f>E9+E6</f>
        <v>1728327562</v>
      </c>
      <c r="F10" s="138">
        <f t="shared" ref="F10:G10" si="5">F9+F6</f>
        <v>2219228889</v>
      </c>
      <c r="G10" s="138">
        <f t="shared" si="5"/>
        <v>0</v>
      </c>
      <c r="H10" s="138">
        <f t="shared" si="0"/>
        <v>-490901327</v>
      </c>
      <c r="I10" s="138">
        <f t="shared" si="1"/>
        <v>1728327562</v>
      </c>
      <c r="J10" s="139">
        <f t="shared" si="2"/>
        <v>0.778796441667987</v>
      </c>
      <c r="K10" s="140" t="str">
        <f t="shared" si="3"/>
        <v/>
      </c>
    </row>
    <row r="11" spans="1:14" ht="15.75">
      <c r="B11" s="148" t="s">
        <v>274</v>
      </c>
      <c r="C11" s="149"/>
      <c r="D11" s="149"/>
      <c r="E11" s="149"/>
      <c r="F11" s="149"/>
      <c r="G11" s="149"/>
      <c r="H11" s="149"/>
      <c r="I11" s="149"/>
      <c r="J11" s="149"/>
      <c r="K11" s="150"/>
    </row>
    <row r="12" spans="1:14" ht="25.5">
      <c r="B12" s="186" t="s">
        <v>8</v>
      </c>
      <c r="C12" s="135" t="s">
        <v>273</v>
      </c>
      <c r="D12" s="151" t="s">
        <v>137</v>
      </c>
      <c r="E12" s="152">
        <f>Баланс!D33/Баланс!D24</f>
        <v>0.44678024986562126</v>
      </c>
      <c r="F12" s="152">
        <f>Баланс!E33/Баланс!E24</f>
        <v>0.43538516274244482</v>
      </c>
      <c r="G12" s="152" t="e">
        <f>Баланс!F33/Баланс!F24</f>
        <v>#DIV/0!</v>
      </c>
      <c r="H12" s="141">
        <f t="shared" ref="H12:H15" si="6">E12-F12</f>
        <v>1.1395087123176439E-2</v>
      </c>
      <c r="I12" s="141" t="e">
        <f t="shared" ref="I12:I15" si="7">E12-G12</f>
        <v>#DIV/0!</v>
      </c>
      <c r="J12" s="139">
        <f t="shared" ref="J12:J15" si="8">IFERROR(E12/F12,"")</f>
        <v>1.0261724286868206</v>
      </c>
      <c r="K12" s="140" t="str">
        <f t="shared" ref="K12:K15" si="9">IFERROR(E12/G12,"")</f>
        <v/>
      </c>
    </row>
    <row r="13" spans="1:14" ht="25.5">
      <c r="B13" s="134" t="s">
        <v>9</v>
      </c>
      <c r="C13" s="135" t="s">
        <v>208</v>
      </c>
      <c r="D13" s="151" t="s">
        <v>154</v>
      </c>
      <c r="E13" s="152">
        <f>(Баланс!D33+Баланс!D39)/Баланс!D24</f>
        <v>0.64031698928608538</v>
      </c>
      <c r="F13" s="152">
        <f>(Баланс!E33+Баланс!E39)/Баланс!E24</f>
        <v>0.51976674452889204</v>
      </c>
      <c r="G13" s="152" t="e">
        <f>(Баланс!F33+Баланс!F39)/Баланс!F24</f>
        <v>#DIV/0!</v>
      </c>
      <c r="H13" s="141">
        <f t="shared" si="6"/>
        <v>0.12055024475719334</v>
      </c>
      <c r="I13" s="141" t="e">
        <f t="shared" si="7"/>
        <v>#DIV/0!</v>
      </c>
      <c r="J13" s="139">
        <f t="shared" si="8"/>
        <v>1.2319314308314551</v>
      </c>
      <c r="K13" s="140" t="str">
        <f t="shared" si="9"/>
        <v/>
      </c>
    </row>
    <row r="14" spans="1:14" ht="25.5">
      <c r="B14" s="134" t="s">
        <v>10</v>
      </c>
      <c r="C14" s="135" t="s">
        <v>152</v>
      </c>
      <c r="D14" s="151" t="s">
        <v>256</v>
      </c>
      <c r="E14" s="152">
        <f>Баланс!D33/(Баланс!D39+Баланс!D46)</f>
        <v>0.80759996322816918</v>
      </c>
      <c r="F14" s="152">
        <f>Баланс!E33/(Баланс!E39+Баланс!E46)</f>
        <v>0.77111888319689892</v>
      </c>
      <c r="G14" s="152" t="e">
        <f>Баланс!F33/(Баланс!F39+Баланс!F46)</f>
        <v>#DIV/0!</v>
      </c>
      <c r="H14" s="141">
        <f t="shared" si="6"/>
        <v>3.6481080031270263E-2</v>
      </c>
      <c r="I14" s="141" t="e">
        <f t="shared" si="7"/>
        <v>#DIV/0!</v>
      </c>
      <c r="J14" s="139">
        <f t="shared" si="8"/>
        <v>1.0473092811318889</v>
      </c>
      <c r="K14" s="140" t="str">
        <f t="shared" si="9"/>
        <v/>
      </c>
    </row>
    <row r="15" spans="1:14">
      <c r="B15" s="142" t="s">
        <v>11</v>
      </c>
      <c r="C15" s="143" t="s">
        <v>275</v>
      </c>
      <c r="D15" s="167" t="s">
        <v>190</v>
      </c>
      <c r="E15" s="153">
        <f>(Баланс!D39+Баланс!D46)/Баланс!D33</f>
        <v>1.2382368072464516</v>
      </c>
      <c r="F15" s="153">
        <f>(Баланс!E39+Баланс!E46)/Баланс!E33</f>
        <v>1.2968169004683265</v>
      </c>
      <c r="G15" s="153" t="e">
        <f>(Баланс!F39+Баланс!F46)/Баланс!F33</f>
        <v>#DIV/0!</v>
      </c>
      <c r="H15" s="168">
        <f t="shared" si="6"/>
        <v>-5.8580093221874963E-2</v>
      </c>
      <c r="I15" s="168" t="e">
        <f t="shared" si="7"/>
        <v>#DIV/0!</v>
      </c>
      <c r="J15" s="145">
        <f t="shared" si="8"/>
        <v>0.9548277839371776</v>
      </c>
      <c r="K15" s="146" t="str">
        <f t="shared" si="9"/>
        <v/>
      </c>
    </row>
    <row r="17" spans="4:10" ht="30">
      <c r="E17" s="166" t="str">
        <f>"Актив, "&amp;$E$4</f>
        <v>Актив, 2020г.</v>
      </c>
      <c r="F17" s="166" t="str">
        <f>"Пассив, "&amp;$E$4</f>
        <v>Пассив, 2020г.</v>
      </c>
      <c r="G17" s="166" t="str">
        <f>"Актив, "&amp;$F$4</f>
        <v>Актив, 2019г.</v>
      </c>
      <c r="H17" s="166" t="str">
        <f>"Пассив, "&amp;$F$4</f>
        <v>Пассив, 2019г.</v>
      </c>
      <c r="I17" s="166" t="str">
        <f>"Актив, "&amp;$G$4</f>
        <v>Актив, 0</v>
      </c>
      <c r="J17" s="166" t="str">
        <f>"Пассив, "&amp;$G$4</f>
        <v>Пассив, 0</v>
      </c>
    </row>
    <row r="18" spans="4:10">
      <c r="D18" s="4" t="s">
        <v>276</v>
      </c>
      <c r="E18" s="187">
        <f>Баланс!D15</f>
        <v>1385958997</v>
      </c>
      <c r="F18" s="187">
        <f>E6</f>
        <v>772182620</v>
      </c>
      <c r="G18" s="187">
        <f>Баланс!E15</f>
        <v>1518399435</v>
      </c>
      <c r="H18" s="187">
        <f>F6</f>
        <v>966219331</v>
      </c>
      <c r="I18" s="187">
        <f>Баланс!F15</f>
        <v>0</v>
      </c>
      <c r="J18" s="187">
        <f>G6</f>
        <v>0</v>
      </c>
    </row>
    <row r="19" spans="4:10">
      <c r="D19" s="4" t="s">
        <v>277</v>
      </c>
      <c r="E19" s="188">
        <f>Баланс!D23</f>
        <v>342368565</v>
      </c>
      <c r="F19" s="188">
        <f>E7</f>
        <v>334494881</v>
      </c>
      <c r="G19" s="188">
        <f>Баланс!E23</f>
        <v>700829454</v>
      </c>
      <c r="H19" s="188">
        <f>F7</f>
        <v>187262044</v>
      </c>
      <c r="I19" s="188">
        <f>Баланс!F23</f>
        <v>0</v>
      </c>
      <c r="J19" s="188">
        <f>G7</f>
        <v>0</v>
      </c>
    </row>
    <row r="20" spans="4:10">
      <c r="D20" s="4" t="s">
        <v>271</v>
      </c>
      <c r="E20" s="189"/>
      <c r="F20" s="189">
        <f>E8</f>
        <v>621650061</v>
      </c>
      <c r="G20" s="189"/>
      <c r="H20" s="189">
        <f>F8</f>
        <v>1065747514</v>
      </c>
      <c r="I20" s="189"/>
      <c r="J20" s="189">
        <f>G8</f>
        <v>0</v>
      </c>
    </row>
    <row r="21" spans="4:10">
      <c r="D21" s="4"/>
      <c r="E21" s="190"/>
      <c r="F21" s="190"/>
      <c r="G21" s="190"/>
      <c r="H21" s="190"/>
      <c r="I21" s="190"/>
      <c r="J21" s="190"/>
    </row>
    <row r="22" spans="4:10">
      <c r="D22" s="4"/>
      <c r="E22" s="190"/>
      <c r="F22" s="190"/>
      <c r="G22" s="190"/>
      <c r="H22" s="190"/>
      <c r="I22" s="190"/>
      <c r="J22" s="190"/>
    </row>
    <row r="23" spans="4:10">
      <c r="D23" s="4"/>
      <c r="E23" s="190"/>
      <c r="F23" s="190"/>
      <c r="G23" s="190"/>
      <c r="H23" s="190"/>
      <c r="I23" s="190"/>
      <c r="J23" s="190"/>
    </row>
    <row r="24" spans="4:10">
      <c r="D24" s="4"/>
      <c r="E24" s="190"/>
      <c r="F24" s="190"/>
      <c r="G24" s="190"/>
      <c r="H24" s="190"/>
      <c r="I24" s="190"/>
      <c r="J24" s="190"/>
    </row>
    <row r="25" spans="4:10">
      <c r="D25" s="4"/>
      <c r="E25" s="190"/>
      <c r="F25" s="190"/>
      <c r="G25" s="190"/>
      <c r="H25" s="190"/>
      <c r="I25" s="190"/>
      <c r="J25" s="190"/>
    </row>
    <row r="26" spans="4:10">
      <c r="D26" s="4"/>
      <c r="E26" s="190"/>
      <c r="F26" s="190"/>
      <c r="G26" s="190"/>
      <c r="H26" s="190"/>
      <c r="I26" s="190"/>
      <c r="J26" s="190"/>
    </row>
    <row r="27" spans="4:10">
      <c r="D27" s="4"/>
      <c r="E27" s="190"/>
      <c r="F27" s="190"/>
      <c r="G27" s="190"/>
      <c r="H27" s="190"/>
      <c r="I27" s="190"/>
      <c r="J27" s="190"/>
    </row>
    <row r="28" spans="4:10">
      <c r="D28" s="4"/>
      <c r="E28" s="190"/>
      <c r="F28" s="190"/>
      <c r="G28" s="190"/>
      <c r="H28" s="190"/>
      <c r="I28" s="190"/>
      <c r="J28" s="190"/>
    </row>
    <row r="29" spans="4:10">
      <c r="D29" s="4"/>
      <c r="E29" s="190"/>
      <c r="F29" s="190"/>
      <c r="G29" s="190"/>
      <c r="H29" s="190"/>
      <c r="I29" s="190"/>
      <c r="J29" s="190"/>
    </row>
    <row r="30" spans="4:10">
      <c r="D30" s="4"/>
      <c r="E30" s="190"/>
      <c r="F30" s="190"/>
      <c r="G30" s="190"/>
      <c r="H30" s="190"/>
      <c r="I30" s="190"/>
      <c r="J30" s="190"/>
    </row>
    <row r="31" spans="4:10">
      <c r="D31" s="4"/>
      <c r="E31" s="190"/>
      <c r="F31" s="190"/>
      <c r="G31" s="190"/>
      <c r="H31" s="190"/>
      <c r="I31" s="190"/>
      <c r="J31" s="190"/>
    </row>
    <row r="32" spans="4:10">
      <c r="D32" s="4"/>
      <c r="E32" s="190"/>
      <c r="F32" s="190"/>
      <c r="G32" s="190"/>
      <c r="H32" s="190"/>
      <c r="I32" s="190"/>
      <c r="J32" s="190"/>
    </row>
    <row r="33" spans="3:10">
      <c r="D33" s="4"/>
      <c r="E33" s="190"/>
      <c r="F33" s="190"/>
      <c r="G33" s="190"/>
      <c r="H33" s="190"/>
      <c r="I33" s="190"/>
      <c r="J33" s="190"/>
    </row>
    <row r="35" spans="3:10">
      <c r="C35" s="191"/>
    </row>
  </sheetData>
  <mergeCells count="6">
    <mergeCell ref="J3:K3"/>
    <mergeCell ref="B3:B4"/>
    <mergeCell ref="C3:C4"/>
    <mergeCell ref="D3:D4"/>
    <mergeCell ref="E3:G3"/>
    <mergeCell ref="H3:I3"/>
  </mergeCells>
  <printOptions horizontalCentered="1"/>
  <pageMargins left="0.19685039370078741" right="0.19685039370078741" top="0.78740157480314965" bottom="0.39370078740157483" header="0.31496062992125984" footer="0.31496062992125984"/>
  <pageSetup paperSize="9" scale="8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Меню</vt:lpstr>
      <vt:lpstr>Баланс</vt:lpstr>
      <vt:lpstr>Коэфф</vt:lpstr>
      <vt:lpstr>Струк2</vt:lpstr>
      <vt:lpstr>Диаг1</vt:lpstr>
      <vt:lpstr>Струк5</vt:lpstr>
      <vt:lpstr>Устойчивость</vt:lpstr>
      <vt:lpstr>УстБалл</vt:lpstr>
      <vt:lpstr>Ликв2</vt:lpstr>
      <vt:lpstr>Рент</vt:lpstr>
      <vt:lpstr>Прибыль1</vt:lpstr>
      <vt:lpstr>Прибыль2</vt:lpstr>
      <vt:lpstr>otchet</vt:lpstr>
      <vt:lpstr>Рент!Заголовки_для_печати</vt:lpstr>
      <vt:lpstr>Устойчивость!Заголовки_для_печати</vt:lpstr>
      <vt:lpstr>Баланс!Область_печати</vt:lpstr>
      <vt:lpstr>Ликв2!Область_печати</vt:lpstr>
      <vt:lpstr>Прибыль2!Область_печати</vt:lpstr>
      <vt:lpstr>Рент!Область_печати</vt:lpstr>
      <vt:lpstr>Струк2!Область_печати</vt:lpstr>
      <vt:lpstr>Струк5!Область_печати</vt:lpstr>
      <vt:lpstr>УстБалл!Область_печати</vt:lpstr>
      <vt:lpstr>Устойчивость!Область_печати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Nplan</dc:creator>
  <cp:lastModifiedBy>Пользователь</cp:lastModifiedBy>
  <cp:lastPrinted>2016-03-14T12:52:06Z</cp:lastPrinted>
  <dcterms:created xsi:type="dcterms:W3CDTF">2016-03-03T11:18:38Z</dcterms:created>
  <dcterms:modified xsi:type="dcterms:W3CDTF">2021-09-21T12:01:01Z</dcterms:modified>
</cp:coreProperties>
</file>